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RBL\2 GAP\Marchés\Marchés de fournitures et de services\1.Marchés en cours\Nettoyage\1-EN COURS\2025\Marché nettoyage pre exploitation TELO\1- PASSATION\1. Projets\1.1 Notes\"/>
    </mc:Choice>
  </mc:AlternateContent>
  <bookViews>
    <workbookView xWindow="0" yWindow="0" windowWidth="28800" windowHeight="12885"/>
  </bookViews>
  <sheets>
    <sheet name="TG" sheetId="3" r:id="rId1"/>
    <sheet name="RDJ" sheetId="4" r:id="rId2"/>
    <sheet name="RDC" sheetId="5" r:id="rId3"/>
    <sheet name="R+1" sheetId="6" r:id="rId4"/>
    <sheet name="R+2" sheetId="7" r:id="rId5"/>
    <sheet name="R+3" sheetId="8" r:id="rId6"/>
    <sheet name="R+4" sheetId="9" r:id="rId7"/>
    <sheet name="R+5" sheetId="10" r:id="rId8"/>
    <sheet name="R+6" sheetId="11" r:id="rId9"/>
    <sheet name="R+7" sheetId="12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8" i="3" l="1"/>
  <c r="D19" i="12"/>
  <c r="L31" i="12"/>
  <c r="I31" i="12"/>
  <c r="F31" i="12"/>
  <c r="E30" i="12"/>
  <c r="N29" i="12"/>
  <c r="N31" i="12" s="1"/>
  <c r="N32" i="12" s="1"/>
  <c r="G29" i="12"/>
  <c r="H29" i="12" s="1"/>
  <c r="E29" i="12"/>
  <c r="G28" i="12"/>
  <c r="H28" i="12" s="1"/>
  <c r="E28" i="12"/>
  <c r="G27" i="12"/>
  <c r="H27" i="12" s="1"/>
  <c r="E27" i="12"/>
  <c r="G26" i="12"/>
  <c r="H26" i="12" s="1"/>
  <c r="E26" i="12"/>
  <c r="G25" i="12"/>
  <c r="H25" i="12" s="1"/>
  <c r="E25" i="12"/>
  <c r="G24" i="12"/>
  <c r="H24" i="12" s="1"/>
  <c r="E24" i="12"/>
  <c r="M23" i="12"/>
  <c r="G23" i="12"/>
  <c r="H23" i="12" s="1"/>
  <c r="E23" i="12"/>
  <c r="M22" i="12"/>
  <c r="G22" i="12"/>
  <c r="H22" i="12" s="1"/>
  <c r="E22" i="12"/>
  <c r="G21" i="12"/>
  <c r="H21" i="12" s="1"/>
  <c r="G20" i="12"/>
  <c r="H20" i="12" s="1"/>
  <c r="E20" i="12"/>
  <c r="H19" i="12"/>
  <c r="E19" i="12"/>
  <c r="G18" i="12"/>
  <c r="H18" i="12" s="1"/>
  <c r="E18" i="12"/>
  <c r="N17" i="12"/>
  <c r="G17" i="12"/>
  <c r="H17" i="12" s="1"/>
  <c r="G16" i="12"/>
  <c r="H16" i="12" s="1"/>
  <c r="G15" i="12"/>
  <c r="H15" i="12" s="1"/>
  <c r="E15" i="12"/>
  <c r="G14" i="12"/>
  <c r="H14" i="12" s="1"/>
  <c r="E14" i="12"/>
  <c r="G13" i="12"/>
  <c r="H13" i="12" s="1"/>
  <c r="E13" i="12"/>
  <c r="H12" i="12"/>
  <c r="G12" i="12"/>
  <c r="E12" i="12"/>
  <c r="G11" i="12"/>
  <c r="H11" i="12" s="1"/>
  <c r="E11" i="12"/>
  <c r="M10" i="12"/>
  <c r="G10" i="12"/>
  <c r="H10" i="12" s="1"/>
  <c r="E10" i="12"/>
  <c r="M9" i="12"/>
  <c r="G9" i="12"/>
  <c r="H9" i="12" s="1"/>
  <c r="G8" i="12"/>
  <c r="H8" i="12" s="1"/>
  <c r="E8" i="12"/>
  <c r="G7" i="12"/>
  <c r="H7" i="12" s="1"/>
  <c r="E7" i="12"/>
  <c r="D31" i="12"/>
  <c r="D32" i="12" s="1"/>
  <c r="J31" i="12"/>
  <c r="J32" i="12" s="1"/>
  <c r="E361" i="3"/>
  <c r="G361" i="3"/>
  <c r="H361" i="3"/>
  <c r="J361" i="3"/>
  <c r="K361" i="3"/>
  <c r="N361" i="3"/>
  <c r="E360" i="3"/>
  <c r="F360" i="3"/>
  <c r="G360" i="3"/>
  <c r="H360" i="3"/>
  <c r="I360" i="3"/>
  <c r="J360" i="3"/>
  <c r="K360" i="3"/>
  <c r="L360" i="3"/>
  <c r="M360" i="3"/>
  <c r="M361" i="3" s="1"/>
  <c r="N360" i="3"/>
  <c r="D360" i="3"/>
  <c r="D361" i="3" s="1"/>
  <c r="E359" i="3"/>
  <c r="E347" i="3"/>
  <c r="E348" i="3"/>
  <c r="E349" i="3"/>
  <c r="E351" i="3"/>
  <c r="E352" i="3"/>
  <c r="E353" i="3"/>
  <c r="E354" i="3"/>
  <c r="E355" i="3"/>
  <c r="E356" i="3"/>
  <c r="E357" i="3"/>
  <c r="E358" i="3"/>
  <c r="M339" i="3"/>
  <c r="M351" i="3"/>
  <c r="M352" i="3"/>
  <c r="M338" i="3"/>
  <c r="N346" i="3"/>
  <c r="N358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G337" i="3"/>
  <c r="G338" i="3"/>
  <c r="G339" i="3"/>
  <c r="G340" i="3"/>
  <c r="G341" i="3"/>
  <c r="G342" i="3"/>
  <c r="G343" i="3"/>
  <c r="G344" i="3"/>
  <c r="G345" i="3"/>
  <c r="G346" i="3"/>
  <c r="G347" i="3"/>
  <c r="G349" i="3"/>
  <c r="G350" i="3"/>
  <c r="G351" i="3"/>
  <c r="G352" i="3"/>
  <c r="G353" i="3"/>
  <c r="G354" i="3"/>
  <c r="G355" i="3"/>
  <c r="G356" i="3"/>
  <c r="G357" i="3"/>
  <c r="G358" i="3"/>
  <c r="G336" i="3"/>
  <c r="E344" i="3"/>
  <c r="E343" i="3"/>
  <c r="E342" i="3"/>
  <c r="E341" i="3"/>
  <c r="E340" i="3"/>
  <c r="E339" i="3"/>
  <c r="E337" i="3"/>
  <c r="E336" i="3"/>
  <c r="F36" i="11"/>
  <c r="I36" i="11"/>
  <c r="J36" i="11"/>
  <c r="J37" i="11" s="1"/>
  <c r="K36" i="11"/>
  <c r="K37" i="11" s="1"/>
  <c r="L36" i="11"/>
  <c r="M36" i="11"/>
  <c r="M37" i="11" s="1"/>
  <c r="N35" i="11"/>
  <c r="G35" i="11"/>
  <c r="H35" i="11" s="1"/>
  <c r="E35" i="11"/>
  <c r="N34" i="11"/>
  <c r="G34" i="11"/>
  <c r="H34" i="11" s="1"/>
  <c r="E34" i="11"/>
  <c r="N33" i="11"/>
  <c r="G33" i="11"/>
  <c r="H33" i="11" s="1"/>
  <c r="E33" i="11"/>
  <c r="G32" i="11"/>
  <c r="H32" i="11" s="1"/>
  <c r="E32" i="11"/>
  <c r="H31" i="11"/>
  <c r="E31" i="11"/>
  <c r="G30" i="11"/>
  <c r="H30" i="11" s="1"/>
  <c r="G29" i="11"/>
  <c r="H29" i="11" s="1"/>
  <c r="D29" i="11"/>
  <c r="G28" i="11"/>
  <c r="H28" i="11" s="1"/>
  <c r="G27" i="11"/>
  <c r="H27" i="11" s="1"/>
  <c r="E27" i="11"/>
  <c r="G26" i="11"/>
  <c r="H26" i="11" s="1"/>
  <c r="E26" i="11"/>
  <c r="D26" i="11"/>
  <c r="G25" i="11"/>
  <c r="H25" i="11" s="1"/>
  <c r="G24" i="11"/>
  <c r="H24" i="11" s="1"/>
  <c r="G23" i="11"/>
  <c r="H23" i="11" s="1"/>
  <c r="E23" i="11"/>
  <c r="D23" i="11"/>
  <c r="D36" i="11" s="1"/>
  <c r="D37" i="11" s="1"/>
  <c r="H22" i="11"/>
  <c r="E22" i="11"/>
  <c r="H21" i="11"/>
  <c r="E21" i="11"/>
  <c r="H20" i="11"/>
  <c r="E20" i="11"/>
  <c r="H19" i="11"/>
  <c r="E19" i="11"/>
  <c r="G18" i="11"/>
  <c r="H18" i="11" s="1"/>
  <c r="G17" i="11"/>
  <c r="H17" i="11" s="1"/>
  <c r="G16" i="11"/>
  <c r="H16" i="11" s="1"/>
  <c r="E16" i="11"/>
  <c r="G15" i="11"/>
  <c r="H15" i="11" s="1"/>
  <c r="E15" i="11"/>
  <c r="G14" i="11"/>
  <c r="H14" i="11" s="1"/>
  <c r="E14" i="11"/>
  <c r="G13" i="11"/>
  <c r="H13" i="11" s="1"/>
  <c r="E13" i="11"/>
  <c r="G12" i="11"/>
  <c r="H12" i="11" s="1"/>
  <c r="E12" i="11"/>
  <c r="G11" i="11"/>
  <c r="H11" i="11" s="1"/>
  <c r="E11" i="11"/>
  <c r="G10" i="11"/>
  <c r="H10" i="11" s="1"/>
  <c r="E10" i="11"/>
  <c r="G9" i="11"/>
  <c r="H9" i="11" s="1"/>
  <c r="H8" i="11"/>
  <c r="E8" i="11"/>
  <c r="N7" i="11"/>
  <c r="N36" i="11" s="1"/>
  <c r="N37" i="11" s="1"/>
  <c r="H7" i="11"/>
  <c r="G7" i="11"/>
  <c r="E7" i="11"/>
  <c r="E335" i="3"/>
  <c r="E334" i="3"/>
  <c r="E333" i="3"/>
  <c r="N335" i="3"/>
  <c r="N334" i="3"/>
  <c r="N333" i="3"/>
  <c r="G332" i="3"/>
  <c r="G333" i="3"/>
  <c r="G334" i="3"/>
  <c r="G335" i="3"/>
  <c r="H335" i="3" s="1"/>
  <c r="H336" i="3"/>
  <c r="E332" i="3"/>
  <c r="E331" i="3"/>
  <c r="D329" i="3"/>
  <c r="G326" i="3"/>
  <c r="H326" i="3" s="1"/>
  <c r="G327" i="3"/>
  <c r="G328" i="3"/>
  <c r="G329" i="3"/>
  <c r="H329" i="3" s="1"/>
  <c r="G330" i="3"/>
  <c r="H330" i="3" s="1"/>
  <c r="E327" i="3"/>
  <c r="E326" i="3"/>
  <c r="D326" i="3"/>
  <c r="H323" i="3"/>
  <c r="H324" i="3"/>
  <c r="H327" i="3"/>
  <c r="H328" i="3"/>
  <c r="H331" i="3"/>
  <c r="H332" i="3"/>
  <c r="H333" i="3"/>
  <c r="H334" i="3"/>
  <c r="H337" i="3"/>
  <c r="G325" i="3"/>
  <c r="H325" i="3" s="1"/>
  <c r="D323" i="3"/>
  <c r="E323" i="3"/>
  <c r="E322" i="3"/>
  <c r="E321" i="3"/>
  <c r="E320" i="3"/>
  <c r="E319" i="3"/>
  <c r="H321" i="3"/>
  <c r="H322" i="3"/>
  <c r="G323" i="3"/>
  <c r="G324" i="3"/>
  <c r="G318" i="3"/>
  <c r="E316" i="3"/>
  <c r="E314" i="3"/>
  <c r="E315" i="3"/>
  <c r="E313" i="3"/>
  <c r="E312" i="3"/>
  <c r="E311" i="3"/>
  <c r="E310" i="3"/>
  <c r="G309" i="3"/>
  <c r="G310" i="3"/>
  <c r="H310" i="3" s="1"/>
  <c r="G311" i="3"/>
  <c r="G312" i="3"/>
  <c r="G313" i="3"/>
  <c r="G314" i="3"/>
  <c r="H314" i="3" s="1"/>
  <c r="G315" i="3"/>
  <c r="H315" i="3" s="1"/>
  <c r="G316" i="3"/>
  <c r="H316" i="3" s="1"/>
  <c r="G317" i="3"/>
  <c r="H318" i="3"/>
  <c r="H319" i="3"/>
  <c r="E308" i="3"/>
  <c r="N307" i="3"/>
  <c r="G307" i="3"/>
  <c r="E307" i="3"/>
  <c r="I43" i="10"/>
  <c r="J43" i="10"/>
  <c r="J44" i="10" s="1"/>
  <c r="K43" i="10"/>
  <c r="K44" i="10" s="1"/>
  <c r="L43" i="10"/>
  <c r="M43" i="10"/>
  <c r="M44" i="10" s="1"/>
  <c r="N43" i="10"/>
  <c r="N44" i="10" s="1"/>
  <c r="F43" i="10"/>
  <c r="G42" i="10"/>
  <c r="H42" i="10" s="1"/>
  <c r="E42" i="10"/>
  <c r="G41" i="10"/>
  <c r="H41" i="10" s="1"/>
  <c r="E41" i="10"/>
  <c r="G40" i="10"/>
  <c r="H40" i="10" s="1"/>
  <c r="G39" i="10"/>
  <c r="H39" i="10" s="1"/>
  <c r="H38" i="10"/>
  <c r="E38" i="10"/>
  <c r="G37" i="10"/>
  <c r="H37" i="10" s="1"/>
  <c r="E37" i="10"/>
  <c r="G36" i="10"/>
  <c r="H36" i="10" s="1"/>
  <c r="E36" i="10"/>
  <c r="H35" i="10"/>
  <c r="E35" i="10"/>
  <c r="G34" i="10"/>
  <c r="H34" i="10" s="1"/>
  <c r="E34" i="10"/>
  <c r="G33" i="10"/>
  <c r="H33" i="10" s="1"/>
  <c r="G32" i="10"/>
  <c r="H32" i="10" s="1"/>
  <c r="E32" i="10"/>
  <c r="G31" i="10"/>
  <c r="H31" i="10" s="1"/>
  <c r="E31" i="10"/>
  <c r="G30" i="10"/>
  <c r="H30" i="10" s="1"/>
  <c r="E30" i="10"/>
  <c r="G29" i="10"/>
  <c r="H29" i="10" s="1"/>
  <c r="E29" i="10"/>
  <c r="G28" i="10"/>
  <c r="H28" i="10" s="1"/>
  <c r="G27" i="10"/>
  <c r="E27" i="10"/>
  <c r="D27" i="10"/>
  <c r="G26" i="10"/>
  <c r="H26" i="10" s="1"/>
  <c r="E26" i="10"/>
  <c r="G25" i="10"/>
  <c r="H25" i="10" s="1"/>
  <c r="E25" i="10"/>
  <c r="G24" i="10"/>
  <c r="H24" i="10" s="1"/>
  <c r="E24" i="10"/>
  <c r="G23" i="10"/>
  <c r="H23" i="10" s="1"/>
  <c r="E23" i="10"/>
  <c r="G22" i="10"/>
  <c r="H22" i="10" s="1"/>
  <c r="G21" i="10"/>
  <c r="H21" i="10" s="1"/>
  <c r="E21" i="10"/>
  <c r="D21" i="10"/>
  <c r="G20" i="10"/>
  <c r="H20" i="10" s="1"/>
  <c r="E20" i="10"/>
  <c r="G19" i="10"/>
  <c r="H19" i="10" s="1"/>
  <c r="E19" i="10"/>
  <c r="G18" i="10"/>
  <c r="H18" i="10" s="1"/>
  <c r="E18" i="10"/>
  <c r="G17" i="10"/>
  <c r="H17" i="10" s="1"/>
  <c r="E17" i="10"/>
  <c r="H16" i="10"/>
  <c r="E16" i="10"/>
  <c r="G15" i="10"/>
  <c r="H15" i="10" s="1"/>
  <c r="G14" i="10"/>
  <c r="H14" i="10" s="1"/>
  <c r="E14" i="10"/>
  <c r="G13" i="10"/>
  <c r="H13" i="10" s="1"/>
  <c r="E13" i="10"/>
  <c r="G12" i="10"/>
  <c r="H12" i="10" s="1"/>
  <c r="E12" i="10"/>
  <c r="G11" i="10"/>
  <c r="H11" i="10" s="1"/>
  <c r="E11" i="10"/>
  <c r="G10" i="10"/>
  <c r="H10" i="10" s="1"/>
  <c r="E10" i="10"/>
  <c r="H9" i="10"/>
  <c r="D9" i="10"/>
  <c r="G8" i="10"/>
  <c r="H8" i="10" s="1"/>
  <c r="G7" i="10"/>
  <c r="H7" i="10" s="1"/>
  <c r="D7" i="10"/>
  <c r="D43" i="10" s="1"/>
  <c r="D44" i="10" s="1"/>
  <c r="E306" i="3"/>
  <c r="E305" i="3"/>
  <c r="H302" i="3"/>
  <c r="E302" i="3"/>
  <c r="G304" i="3"/>
  <c r="H304" i="3" s="1"/>
  <c r="E301" i="3"/>
  <c r="E300" i="3"/>
  <c r="G301" i="3"/>
  <c r="H301" i="3" s="1"/>
  <c r="G303" i="3"/>
  <c r="H303" i="3" s="1"/>
  <c r="G305" i="3"/>
  <c r="H305" i="3" s="1"/>
  <c r="G306" i="3"/>
  <c r="G300" i="3"/>
  <c r="H300" i="3" s="1"/>
  <c r="E299" i="3"/>
  <c r="H299" i="3"/>
  <c r="H306" i="3"/>
  <c r="H307" i="3"/>
  <c r="H308" i="3"/>
  <c r="H309" i="3"/>
  <c r="H311" i="3"/>
  <c r="H312" i="3"/>
  <c r="H313" i="3"/>
  <c r="H317" i="3"/>
  <c r="H320" i="3"/>
  <c r="E296" i="3"/>
  <c r="E298" i="3"/>
  <c r="G297" i="3"/>
  <c r="H297" i="3" s="1"/>
  <c r="G295" i="3"/>
  <c r="H295" i="3" s="1"/>
  <c r="G296" i="3"/>
  <c r="H296" i="3" s="1"/>
  <c r="G298" i="3"/>
  <c r="H298" i="3" s="1"/>
  <c r="G291" i="3"/>
  <c r="E295" i="3"/>
  <c r="E294" i="3"/>
  <c r="E293" i="3"/>
  <c r="D291" i="3"/>
  <c r="E291" i="3"/>
  <c r="E290" i="3"/>
  <c r="E289" i="3"/>
  <c r="E288" i="3"/>
  <c r="E287" i="3"/>
  <c r="D285" i="3"/>
  <c r="E285" i="3"/>
  <c r="E284" i="3"/>
  <c r="E283" i="3"/>
  <c r="E282" i="3"/>
  <c r="H280" i="3"/>
  <c r="G282" i="3"/>
  <c r="H282" i="3" s="1"/>
  <c r="G283" i="3"/>
  <c r="H283" i="3" s="1"/>
  <c r="G284" i="3"/>
  <c r="H284" i="3" s="1"/>
  <c r="G285" i="3"/>
  <c r="H285" i="3" s="1"/>
  <c r="G286" i="3"/>
  <c r="H286" i="3" s="1"/>
  <c r="G287" i="3"/>
  <c r="H287" i="3" s="1"/>
  <c r="G288" i="3"/>
  <c r="H288" i="3" s="1"/>
  <c r="G289" i="3"/>
  <c r="H289" i="3" s="1"/>
  <c r="G290" i="3"/>
  <c r="H290" i="3" s="1"/>
  <c r="G292" i="3"/>
  <c r="H292" i="3" s="1"/>
  <c r="G293" i="3"/>
  <c r="H293" i="3" s="1"/>
  <c r="G294" i="3"/>
  <c r="H294" i="3" s="1"/>
  <c r="G281" i="3"/>
  <c r="H281" i="3" s="1"/>
  <c r="E281" i="3"/>
  <c r="E280" i="3"/>
  <c r="E276" i="3"/>
  <c r="E277" i="3"/>
  <c r="E278" i="3"/>
  <c r="G278" i="3"/>
  <c r="H278" i="3" s="1"/>
  <c r="G275" i="3"/>
  <c r="G276" i="3"/>
  <c r="H276" i="3" s="1"/>
  <c r="G277" i="3"/>
  <c r="H277" i="3" s="1"/>
  <c r="G274" i="3"/>
  <c r="G272" i="3"/>
  <c r="G271" i="3"/>
  <c r="E275" i="3"/>
  <c r="E274" i="3"/>
  <c r="G279" i="3"/>
  <c r="H279" i="3" s="1"/>
  <c r="H272" i="3"/>
  <c r="D273" i="3"/>
  <c r="D271" i="3"/>
  <c r="I42" i="9"/>
  <c r="J42" i="9"/>
  <c r="J43" i="9" s="1"/>
  <c r="K42" i="9"/>
  <c r="K43" i="9" s="1"/>
  <c r="L42" i="9"/>
  <c r="M42" i="9"/>
  <c r="M43" i="9" s="1"/>
  <c r="F42" i="9"/>
  <c r="H41" i="9"/>
  <c r="E41" i="9"/>
  <c r="G40" i="9"/>
  <c r="H40" i="9" s="1"/>
  <c r="E40" i="9"/>
  <c r="G39" i="9"/>
  <c r="H39" i="9" s="1"/>
  <c r="G38" i="9"/>
  <c r="H38" i="9" s="1"/>
  <c r="D38" i="9"/>
  <c r="H37" i="9"/>
  <c r="E37" i="9"/>
  <c r="G36" i="9"/>
  <c r="H36" i="9" s="1"/>
  <c r="E36" i="9"/>
  <c r="H35" i="9"/>
  <c r="D35" i="9"/>
  <c r="G34" i="9"/>
  <c r="H34" i="9" s="1"/>
  <c r="D34" i="9"/>
  <c r="G33" i="9"/>
  <c r="H33" i="9" s="1"/>
  <c r="G32" i="9"/>
  <c r="H32" i="9" s="1"/>
  <c r="E32" i="9"/>
  <c r="G31" i="9"/>
  <c r="H31" i="9" s="1"/>
  <c r="E31" i="9"/>
  <c r="G30" i="9"/>
  <c r="H30" i="9" s="1"/>
  <c r="E30" i="9"/>
  <c r="G29" i="9"/>
  <c r="H29" i="9" s="1"/>
  <c r="E29" i="9"/>
  <c r="G28" i="9"/>
  <c r="H28" i="9" s="1"/>
  <c r="E28" i="9"/>
  <c r="G27" i="9"/>
  <c r="H27" i="9" s="1"/>
  <c r="E27" i="9"/>
  <c r="G26" i="9"/>
  <c r="H26" i="9" s="1"/>
  <c r="G25" i="9"/>
  <c r="H25" i="9" s="1"/>
  <c r="G24" i="9"/>
  <c r="H24" i="9" s="1"/>
  <c r="G23" i="9"/>
  <c r="H23" i="9" s="1"/>
  <c r="G22" i="9"/>
  <c r="H22" i="9" s="1"/>
  <c r="E22" i="9"/>
  <c r="H21" i="9"/>
  <c r="E21" i="9"/>
  <c r="H20" i="9"/>
  <c r="D20" i="9"/>
  <c r="H19" i="9"/>
  <c r="H18" i="9"/>
  <c r="E18" i="9"/>
  <c r="N17" i="9"/>
  <c r="N42" i="9" s="1"/>
  <c r="N43" i="9" s="1"/>
  <c r="H17" i="9"/>
  <c r="E17" i="9"/>
  <c r="G16" i="9"/>
  <c r="H16" i="9" s="1"/>
  <c r="E16" i="9"/>
  <c r="G15" i="9"/>
  <c r="H15" i="9" s="1"/>
  <c r="G14" i="9"/>
  <c r="H14" i="9" s="1"/>
  <c r="E14" i="9"/>
  <c r="G13" i="9"/>
  <c r="H13" i="9" s="1"/>
  <c r="E13" i="9"/>
  <c r="G12" i="9"/>
  <c r="H12" i="9" s="1"/>
  <c r="E12" i="9"/>
  <c r="G11" i="9"/>
  <c r="H11" i="9" s="1"/>
  <c r="G10" i="9"/>
  <c r="H10" i="9" s="1"/>
  <c r="G9" i="9"/>
  <c r="H9" i="9" s="1"/>
  <c r="E9" i="9"/>
  <c r="H8" i="9"/>
  <c r="E8" i="9"/>
  <c r="G7" i="9"/>
  <c r="H7" i="9" s="1"/>
  <c r="D7" i="9"/>
  <c r="D42" i="9" s="1"/>
  <c r="D43" i="9" s="1"/>
  <c r="E270" i="3"/>
  <c r="G269" i="3"/>
  <c r="H269" i="3" s="1"/>
  <c r="E269" i="3"/>
  <c r="D267" i="3"/>
  <c r="E265" i="3"/>
  <c r="H266" i="3"/>
  <c r="E266" i="3"/>
  <c r="G268" i="3"/>
  <c r="G265" i="3"/>
  <c r="G267" i="3"/>
  <c r="H268" i="3"/>
  <c r="H273" i="3"/>
  <c r="G263" i="3"/>
  <c r="D264" i="3"/>
  <c r="D263" i="3"/>
  <c r="E261" i="3"/>
  <c r="G262" i="3"/>
  <c r="G261" i="3"/>
  <c r="H261" i="3" s="1"/>
  <c r="G259" i="3"/>
  <c r="H259" i="3" s="1"/>
  <c r="G260" i="3"/>
  <c r="E260" i="3"/>
  <c r="E259" i="3"/>
  <c r="H262" i="3"/>
  <c r="H263" i="3"/>
  <c r="H264" i="3"/>
  <c r="H265" i="3"/>
  <c r="H267" i="3"/>
  <c r="H270" i="3"/>
  <c r="H271" i="3"/>
  <c r="H274" i="3"/>
  <c r="H275" i="3"/>
  <c r="G257" i="3"/>
  <c r="H257" i="3" s="1"/>
  <c r="G258" i="3"/>
  <c r="G256" i="3"/>
  <c r="E257" i="3"/>
  <c r="E258" i="3"/>
  <c r="E256" i="3"/>
  <c r="G255" i="3"/>
  <c r="G252" i="3"/>
  <c r="G253" i="3"/>
  <c r="G251" i="3"/>
  <c r="H251" i="3" s="1"/>
  <c r="G254" i="3"/>
  <c r="H249" i="3"/>
  <c r="E251" i="3"/>
  <c r="N246" i="3"/>
  <c r="D249" i="3"/>
  <c r="E247" i="3"/>
  <c r="E246" i="3"/>
  <c r="E250" i="3"/>
  <c r="G245" i="3"/>
  <c r="H245" i="3" s="1"/>
  <c r="E245" i="3"/>
  <c r="G244" i="3"/>
  <c r="H244" i="3" s="1"/>
  <c r="G243" i="3"/>
  <c r="H243" i="3" s="1"/>
  <c r="E243" i="3"/>
  <c r="G242" i="3"/>
  <c r="E242" i="3"/>
  <c r="H238" i="3"/>
  <c r="H242" i="3"/>
  <c r="H246" i="3"/>
  <c r="H247" i="3"/>
  <c r="H248" i="3"/>
  <c r="H250" i="3"/>
  <c r="H252" i="3"/>
  <c r="H253" i="3"/>
  <c r="H254" i="3"/>
  <c r="H255" i="3"/>
  <c r="H256" i="3"/>
  <c r="H258" i="3"/>
  <c r="H260" i="3"/>
  <c r="G241" i="3"/>
  <c r="H241" i="3" s="1"/>
  <c r="E241" i="3"/>
  <c r="E238" i="3"/>
  <c r="G240" i="3"/>
  <c r="H240" i="3" s="1"/>
  <c r="G239" i="3"/>
  <c r="H239" i="3" s="1"/>
  <c r="G238" i="3"/>
  <c r="G236" i="3"/>
  <c r="H236" i="3" s="1"/>
  <c r="E237" i="3"/>
  <c r="D236" i="3"/>
  <c r="F31" i="8"/>
  <c r="I31" i="8"/>
  <c r="J31" i="8"/>
  <c r="J32" i="8" s="1"/>
  <c r="K31" i="8"/>
  <c r="K32" i="8" s="1"/>
  <c r="L31" i="8"/>
  <c r="M31" i="8"/>
  <c r="M32" i="8" s="1"/>
  <c r="D31" i="8"/>
  <c r="D32" i="8" s="1"/>
  <c r="H30" i="8"/>
  <c r="E30" i="8"/>
  <c r="G29" i="8"/>
  <c r="H29" i="8" s="1"/>
  <c r="E29" i="8"/>
  <c r="G28" i="8"/>
  <c r="H28" i="8" s="1"/>
  <c r="E28" i="8"/>
  <c r="G27" i="8"/>
  <c r="H27" i="8" s="1"/>
  <c r="E27" i="8"/>
  <c r="G26" i="8"/>
  <c r="H26" i="8" s="1"/>
  <c r="E26" i="8"/>
  <c r="G25" i="8"/>
  <c r="H25" i="8" s="1"/>
  <c r="E25" i="8"/>
  <c r="H24" i="8"/>
  <c r="G24" i="8"/>
  <c r="E24" i="8"/>
  <c r="G23" i="8"/>
  <c r="H23" i="8" s="1"/>
  <c r="E23" i="8"/>
  <c r="H22" i="8"/>
  <c r="E22" i="8"/>
  <c r="G21" i="8"/>
  <c r="H21" i="8" s="1"/>
  <c r="E21" i="8"/>
  <c r="G20" i="8"/>
  <c r="H20" i="8" s="1"/>
  <c r="E20" i="8"/>
  <c r="H19" i="8"/>
  <c r="E19" i="8"/>
  <c r="H18" i="8"/>
  <c r="E18" i="8"/>
  <c r="G17" i="8"/>
  <c r="H17" i="8" s="1"/>
  <c r="E17" i="8"/>
  <c r="H16" i="8"/>
  <c r="E16" i="8"/>
  <c r="G15" i="8"/>
  <c r="H15" i="8" s="1"/>
  <c r="E15" i="8"/>
  <c r="G14" i="8"/>
  <c r="H14" i="8" s="1"/>
  <c r="E14" i="8"/>
  <c r="G13" i="8"/>
  <c r="H13" i="8" s="1"/>
  <c r="E13" i="8"/>
  <c r="G12" i="8"/>
  <c r="H12" i="8" s="1"/>
  <c r="E12" i="8"/>
  <c r="G11" i="8"/>
  <c r="H11" i="8" s="1"/>
  <c r="H10" i="8"/>
  <c r="E10" i="8"/>
  <c r="G9" i="8"/>
  <c r="H9" i="8" s="1"/>
  <c r="E9" i="8"/>
  <c r="G8" i="8"/>
  <c r="H8" i="8" s="1"/>
  <c r="E8" i="8"/>
  <c r="N7" i="8"/>
  <c r="N31" i="8" s="1"/>
  <c r="N32" i="8" s="1"/>
  <c r="H7" i="8"/>
  <c r="E235" i="3"/>
  <c r="E234" i="3"/>
  <c r="E233" i="3"/>
  <c r="E232" i="3"/>
  <c r="E231" i="3"/>
  <c r="E229" i="3"/>
  <c r="H235" i="3"/>
  <c r="H237" i="3"/>
  <c r="G229" i="3"/>
  <c r="H229" i="3" s="1"/>
  <c r="G230" i="3"/>
  <c r="H230" i="3" s="1"/>
  <c r="G231" i="3"/>
  <c r="H231" i="3" s="1"/>
  <c r="G232" i="3"/>
  <c r="H232" i="3" s="1"/>
  <c r="G233" i="3"/>
  <c r="H233" i="3" s="1"/>
  <c r="G234" i="3"/>
  <c r="H234" i="3" s="1"/>
  <c r="E230" i="3"/>
  <c r="G226" i="3"/>
  <c r="G228" i="3"/>
  <c r="H228" i="3" s="1"/>
  <c r="E228" i="3"/>
  <c r="E227" i="3"/>
  <c r="E226" i="3"/>
  <c r="G225" i="3"/>
  <c r="H225" i="3" s="1"/>
  <c r="E225" i="3"/>
  <c r="E224" i="3"/>
  <c r="E223" i="3"/>
  <c r="E221" i="3"/>
  <c r="E222" i="3"/>
  <c r="G222" i="3"/>
  <c r="H224" i="3"/>
  <c r="E220" i="3"/>
  <c r="E217" i="3"/>
  <c r="E218" i="3"/>
  <c r="E219" i="3"/>
  <c r="G217" i="3"/>
  <c r="G218" i="3"/>
  <c r="G219" i="3"/>
  <c r="G220" i="3"/>
  <c r="H220" i="3" s="1"/>
  <c r="H217" i="3"/>
  <c r="H218" i="3"/>
  <c r="H219" i="3"/>
  <c r="H221" i="3"/>
  <c r="H222" i="3"/>
  <c r="H223" i="3"/>
  <c r="H226" i="3"/>
  <c r="H227" i="3"/>
  <c r="H212" i="3"/>
  <c r="H214" i="3"/>
  <c r="H215" i="3"/>
  <c r="G214" i="3"/>
  <c r="G216" i="3"/>
  <c r="H216" i="3" s="1"/>
  <c r="E215" i="3"/>
  <c r="E214" i="3"/>
  <c r="G213" i="3"/>
  <c r="H213" i="3" s="1"/>
  <c r="E213" i="3"/>
  <c r="N212" i="3"/>
  <c r="F35" i="7"/>
  <c r="I35" i="7"/>
  <c r="J35" i="7"/>
  <c r="J36" i="7" s="1"/>
  <c r="K35" i="7"/>
  <c r="K36" i="7" s="1"/>
  <c r="L35" i="7"/>
  <c r="M35" i="7"/>
  <c r="M36" i="7" s="1"/>
  <c r="H34" i="7"/>
  <c r="D34" i="7"/>
  <c r="G33" i="7"/>
  <c r="H33" i="7" s="1"/>
  <c r="E33" i="7"/>
  <c r="H32" i="7"/>
  <c r="E32" i="7"/>
  <c r="D32" i="7"/>
  <c r="G31" i="7"/>
  <c r="H31" i="7" s="1"/>
  <c r="E31" i="7"/>
  <c r="D31" i="7"/>
  <c r="G30" i="7"/>
  <c r="H30" i="7" s="1"/>
  <c r="D30" i="7"/>
  <c r="G29" i="7"/>
  <c r="H29" i="7" s="1"/>
  <c r="E29" i="7"/>
  <c r="H28" i="7"/>
  <c r="E28" i="7"/>
  <c r="G27" i="7"/>
  <c r="H27" i="7" s="1"/>
  <c r="E27" i="7"/>
  <c r="G26" i="7"/>
  <c r="H26" i="7" s="1"/>
  <c r="E26" i="7"/>
  <c r="G25" i="7"/>
  <c r="H25" i="7" s="1"/>
  <c r="E25" i="7"/>
  <c r="G24" i="7"/>
  <c r="H24" i="7" s="1"/>
  <c r="E24" i="7"/>
  <c r="G23" i="7"/>
  <c r="H23" i="7" s="1"/>
  <c r="G22" i="7"/>
  <c r="H22" i="7" s="1"/>
  <c r="E22" i="7"/>
  <c r="G21" i="7"/>
  <c r="H21" i="7" s="1"/>
  <c r="G20" i="7"/>
  <c r="H20" i="7" s="1"/>
  <c r="G19" i="7"/>
  <c r="H19" i="7" s="1"/>
  <c r="G18" i="7"/>
  <c r="H18" i="7" s="1"/>
  <c r="G17" i="7"/>
  <c r="H17" i="7" s="1"/>
  <c r="E17" i="7"/>
  <c r="G16" i="7"/>
  <c r="H16" i="7" s="1"/>
  <c r="E16" i="7"/>
  <c r="H15" i="7"/>
  <c r="E15" i="7"/>
  <c r="H14" i="7"/>
  <c r="E14" i="7"/>
  <c r="N13" i="7"/>
  <c r="N35" i="7" s="1"/>
  <c r="N36" i="7" s="1"/>
  <c r="H13" i="7"/>
  <c r="E13" i="7"/>
  <c r="G12" i="7"/>
  <c r="H12" i="7" s="1"/>
  <c r="E12" i="7"/>
  <c r="G11" i="7"/>
  <c r="H11" i="7" s="1"/>
  <c r="G10" i="7"/>
  <c r="H10" i="7" s="1"/>
  <c r="E10" i="7"/>
  <c r="G9" i="7"/>
  <c r="H9" i="7" s="1"/>
  <c r="E9" i="7"/>
  <c r="E35" i="7" s="1"/>
  <c r="E36" i="7" s="1"/>
  <c r="G8" i="7"/>
  <c r="H8" i="7" s="1"/>
  <c r="H7" i="7"/>
  <c r="G7" i="7"/>
  <c r="D211" i="3"/>
  <c r="E210" i="3"/>
  <c r="G210" i="3"/>
  <c r="E209" i="3"/>
  <c r="D209" i="3"/>
  <c r="E208" i="3"/>
  <c r="D208" i="3"/>
  <c r="G207" i="3"/>
  <c r="H207" i="3" s="1"/>
  <c r="G208" i="3"/>
  <c r="D207" i="3"/>
  <c r="H205" i="3"/>
  <c r="H206" i="3"/>
  <c r="H208" i="3"/>
  <c r="H209" i="3"/>
  <c r="H210" i="3"/>
  <c r="H211" i="3"/>
  <c r="G206" i="3"/>
  <c r="E206" i="3"/>
  <c r="E205" i="3"/>
  <c r="G203" i="3"/>
  <c r="G204" i="3"/>
  <c r="G202" i="3"/>
  <c r="H202" i="3" s="1"/>
  <c r="G201" i="3"/>
  <c r="H201" i="3" s="1"/>
  <c r="H203" i="3"/>
  <c r="H204" i="3"/>
  <c r="E204" i="3"/>
  <c r="E203" i="3"/>
  <c r="E202" i="3"/>
  <c r="E201" i="3"/>
  <c r="G200" i="3"/>
  <c r="H200" i="3" s="1"/>
  <c r="G199" i="3"/>
  <c r="H199" i="3" s="1"/>
  <c r="E199" i="3"/>
  <c r="G198" i="3"/>
  <c r="G196" i="3"/>
  <c r="H196" i="3" s="1"/>
  <c r="G197" i="3"/>
  <c r="H197" i="3" s="1"/>
  <c r="G195" i="3"/>
  <c r="G194" i="3"/>
  <c r="H194" i="3" s="1"/>
  <c r="E194" i="3"/>
  <c r="G193" i="3"/>
  <c r="H193" i="3" s="1"/>
  <c r="E193" i="3"/>
  <c r="E192" i="3"/>
  <c r="E191" i="3"/>
  <c r="E189" i="3"/>
  <c r="E187" i="3"/>
  <c r="E186" i="3"/>
  <c r="E190" i="3"/>
  <c r="N190" i="3"/>
  <c r="G189" i="3"/>
  <c r="G188" i="3"/>
  <c r="H188" i="3" s="1"/>
  <c r="G187" i="3"/>
  <c r="H187" i="3" s="1"/>
  <c r="G186" i="3"/>
  <c r="H186" i="3" s="1"/>
  <c r="H195" i="3"/>
  <c r="H198" i="3"/>
  <c r="H189" i="3"/>
  <c r="H190" i="3"/>
  <c r="H191" i="3"/>
  <c r="H192" i="3"/>
  <c r="H184" i="3"/>
  <c r="G185" i="3"/>
  <c r="H185" i="3" s="1"/>
  <c r="G184" i="3"/>
  <c r="L40" i="6"/>
  <c r="L13" i="4"/>
  <c r="L146" i="5"/>
  <c r="F40" i="6"/>
  <c r="I40" i="6"/>
  <c r="J40" i="6"/>
  <c r="J41" i="6" s="1"/>
  <c r="K40" i="6"/>
  <c r="K41" i="6" s="1"/>
  <c r="M40" i="6"/>
  <c r="M41" i="6" s="1"/>
  <c r="N40" i="6"/>
  <c r="N41" i="6" s="1"/>
  <c r="J59" i="3"/>
  <c r="K59" i="3" s="1"/>
  <c r="J58" i="3"/>
  <c r="H59" i="3"/>
  <c r="J54" i="5"/>
  <c r="K54" i="5" s="1"/>
  <c r="J53" i="5"/>
  <c r="H54" i="5"/>
  <c r="D14" i="4"/>
  <c r="D39" i="6"/>
  <c r="G38" i="6"/>
  <c r="H38" i="6" s="1"/>
  <c r="G37" i="6"/>
  <c r="H37" i="6" s="1"/>
  <c r="G36" i="6"/>
  <c r="H36" i="6" s="1"/>
  <c r="D36" i="6"/>
  <c r="G35" i="6"/>
  <c r="H35" i="6" s="1"/>
  <c r="E35" i="6"/>
  <c r="G34" i="6"/>
  <c r="H34" i="6" s="1"/>
  <c r="E34" i="6"/>
  <c r="G33" i="6"/>
  <c r="H33" i="6" s="1"/>
  <c r="G32" i="6"/>
  <c r="H32" i="6" s="1"/>
  <c r="E32" i="6"/>
  <c r="G31" i="6"/>
  <c r="H31" i="6" s="1"/>
  <c r="G30" i="6"/>
  <c r="H30" i="6" s="1"/>
  <c r="E30" i="6"/>
  <c r="G29" i="6"/>
  <c r="H29" i="6" s="1"/>
  <c r="G28" i="6"/>
  <c r="H28" i="6" s="1"/>
  <c r="G27" i="6"/>
  <c r="H27" i="6" s="1"/>
  <c r="E27" i="6"/>
  <c r="G26" i="6"/>
  <c r="H26" i="6" s="1"/>
  <c r="E26" i="6"/>
  <c r="H25" i="6"/>
  <c r="E25" i="6"/>
  <c r="G24" i="6"/>
  <c r="H24" i="6" s="1"/>
  <c r="G23" i="6"/>
  <c r="H23" i="6" s="1"/>
  <c r="G22" i="6"/>
  <c r="H22" i="6" s="1"/>
  <c r="E22" i="6"/>
  <c r="D22" i="6"/>
  <c r="H21" i="6"/>
  <c r="E21" i="6"/>
  <c r="D21" i="6"/>
  <c r="G20" i="6"/>
  <c r="H20" i="6" s="1"/>
  <c r="E20" i="6"/>
  <c r="G19" i="6"/>
  <c r="H19" i="6" s="1"/>
  <c r="G18" i="6"/>
  <c r="H18" i="6" s="1"/>
  <c r="E18" i="6"/>
  <c r="G17" i="6"/>
  <c r="H17" i="6" s="1"/>
  <c r="E17" i="6"/>
  <c r="G16" i="6"/>
  <c r="H16" i="6" s="1"/>
  <c r="G15" i="6"/>
  <c r="H15" i="6" s="1"/>
  <c r="E15" i="6"/>
  <c r="G14" i="6"/>
  <c r="H14" i="6" s="1"/>
  <c r="G13" i="6"/>
  <c r="H13" i="6" s="1"/>
  <c r="D13" i="6"/>
  <c r="G12" i="6"/>
  <c r="H12" i="6" s="1"/>
  <c r="E12" i="6"/>
  <c r="G11" i="6"/>
  <c r="H11" i="6" s="1"/>
  <c r="G10" i="6"/>
  <c r="H10" i="6" s="1"/>
  <c r="E10" i="6"/>
  <c r="G9" i="6"/>
  <c r="H9" i="6" s="1"/>
  <c r="G8" i="6"/>
  <c r="H8" i="6" s="1"/>
  <c r="G7" i="6"/>
  <c r="E7" i="6"/>
  <c r="E40" i="6" s="1"/>
  <c r="E41" i="6" s="1"/>
  <c r="D183" i="3"/>
  <c r="G181" i="3"/>
  <c r="H181" i="3" s="1"/>
  <c r="G182" i="3"/>
  <c r="H182" i="3" s="1"/>
  <c r="G180" i="3"/>
  <c r="H180" i="3" s="1"/>
  <c r="D180" i="3"/>
  <c r="E179" i="3"/>
  <c r="G179" i="3"/>
  <c r="H179" i="3" s="1"/>
  <c r="G178" i="3"/>
  <c r="H178" i="3" s="1"/>
  <c r="E178" i="3"/>
  <c r="G176" i="3"/>
  <c r="H176" i="3" s="1"/>
  <c r="G177" i="3"/>
  <c r="E176" i="3"/>
  <c r="G175" i="3"/>
  <c r="G174" i="3"/>
  <c r="H174" i="3" s="1"/>
  <c r="E174" i="3"/>
  <c r="G173" i="3"/>
  <c r="H173" i="3" s="1"/>
  <c r="G172" i="3"/>
  <c r="H172" i="3"/>
  <c r="H175" i="3"/>
  <c r="H177" i="3"/>
  <c r="G171" i="3"/>
  <c r="H171" i="3" s="1"/>
  <c r="E171" i="3"/>
  <c r="G170" i="3"/>
  <c r="H170" i="3" s="1"/>
  <c r="E170" i="3"/>
  <c r="E169" i="3"/>
  <c r="E166" i="3"/>
  <c r="H165" i="3"/>
  <c r="H169" i="3"/>
  <c r="G168" i="3"/>
  <c r="H168" i="3" s="1"/>
  <c r="G167" i="3"/>
  <c r="H167" i="3" s="1"/>
  <c r="G166" i="3"/>
  <c r="H166" i="3" s="1"/>
  <c r="D166" i="3"/>
  <c r="D165" i="3"/>
  <c r="E165" i="3"/>
  <c r="E164" i="3"/>
  <c r="G164" i="3"/>
  <c r="H164" i="3" s="1"/>
  <c r="G163" i="3"/>
  <c r="H163" i="3" s="1"/>
  <c r="G162" i="3"/>
  <c r="H162" i="3" s="1"/>
  <c r="E162" i="3"/>
  <c r="G161" i="3"/>
  <c r="E161" i="3"/>
  <c r="G160" i="3"/>
  <c r="H160" i="3" s="1"/>
  <c r="G159" i="3"/>
  <c r="E159" i="3"/>
  <c r="G158" i="3"/>
  <c r="H158" i="3" s="1"/>
  <c r="G157" i="3"/>
  <c r="H157" i="3" s="1"/>
  <c r="D157" i="3"/>
  <c r="G156" i="3"/>
  <c r="H156" i="3" s="1"/>
  <c r="E156" i="3"/>
  <c r="G155" i="3"/>
  <c r="H155" i="3" s="1"/>
  <c r="G154" i="3"/>
  <c r="H154" i="3" s="1"/>
  <c r="E154" i="3"/>
  <c r="E151" i="3"/>
  <c r="G153" i="3"/>
  <c r="H153" i="3" s="1"/>
  <c r="H159" i="3"/>
  <c r="H161" i="3"/>
  <c r="G152" i="3"/>
  <c r="H152" i="3" s="1"/>
  <c r="G151" i="3"/>
  <c r="H151" i="3" s="1"/>
  <c r="E31" i="12" l="1"/>
  <c r="E32" i="12" s="1"/>
  <c r="M31" i="12"/>
  <c r="M32" i="12" s="1"/>
  <c r="E36" i="11"/>
  <c r="E37" i="11" s="1"/>
  <c r="G36" i="11"/>
  <c r="G37" i="11" s="1"/>
  <c r="H36" i="11"/>
  <c r="H37" i="11" s="1"/>
  <c r="E43" i="10"/>
  <c r="E44" i="10" s="1"/>
  <c r="H43" i="10"/>
  <c r="H44" i="10" s="1"/>
  <c r="G43" i="10"/>
  <c r="G44" i="10" s="1"/>
  <c r="E42" i="9"/>
  <c r="E43" i="9" s="1"/>
  <c r="H42" i="9"/>
  <c r="H43" i="9" s="1"/>
  <c r="G42" i="9"/>
  <c r="G43" i="9" s="1"/>
  <c r="H31" i="8"/>
  <c r="H32" i="8" s="1"/>
  <c r="E31" i="8"/>
  <c r="E32" i="8" s="1"/>
  <c r="G31" i="8"/>
  <c r="G32" i="8" s="1"/>
  <c r="G35" i="7"/>
  <c r="G36" i="7" s="1"/>
  <c r="D35" i="7"/>
  <c r="D36" i="7" s="1"/>
  <c r="H35" i="7"/>
  <c r="H36" i="7" s="1"/>
  <c r="D40" i="6"/>
  <c r="D41" i="6" s="1"/>
  <c r="G40" i="6"/>
  <c r="G41" i="6" s="1"/>
  <c r="H7" i="6"/>
  <c r="H40" i="6" s="1"/>
  <c r="H41" i="6" s="1"/>
  <c r="G31" i="12"/>
  <c r="G32" i="12" s="1"/>
  <c r="H31" i="12"/>
  <c r="H32" i="12" s="1"/>
  <c r="K31" i="12"/>
  <c r="K32" i="12" s="1"/>
  <c r="I146" i="5"/>
  <c r="J150" i="3"/>
  <c r="K150" i="3" s="1"/>
  <c r="F146" i="5"/>
  <c r="N146" i="5"/>
  <c r="N147" i="5" s="1"/>
  <c r="J145" i="5"/>
  <c r="K145" i="5" s="1"/>
  <c r="E7" i="5"/>
  <c r="J144" i="5"/>
  <c r="K144" i="5" s="1"/>
  <c r="H144" i="5"/>
  <c r="E144" i="5"/>
  <c r="J143" i="5"/>
  <c r="K143" i="5" s="1"/>
  <c r="J142" i="5"/>
  <c r="K142" i="5" s="1"/>
  <c r="H142" i="5"/>
  <c r="E142" i="5"/>
  <c r="J141" i="5"/>
  <c r="K141" i="5" s="1"/>
  <c r="J140" i="5"/>
  <c r="K140" i="5" s="1"/>
  <c r="H140" i="5"/>
  <c r="E140" i="5"/>
  <c r="J139" i="5"/>
  <c r="K139" i="5" s="1"/>
  <c r="J138" i="5"/>
  <c r="K138" i="5" s="1"/>
  <c r="H138" i="5"/>
  <c r="E138" i="5"/>
  <c r="J137" i="5"/>
  <c r="K137" i="5" s="1"/>
  <c r="J136" i="5"/>
  <c r="K136" i="5" s="1"/>
  <c r="H136" i="5"/>
  <c r="E136" i="5"/>
  <c r="J135" i="5"/>
  <c r="K135" i="5" s="1"/>
  <c r="J134" i="5"/>
  <c r="K134" i="5" s="1"/>
  <c r="H134" i="5"/>
  <c r="E134" i="5"/>
  <c r="J133" i="5"/>
  <c r="K133" i="5" s="1"/>
  <c r="H133" i="5"/>
  <c r="E133" i="5"/>
  <c r="K132" i="5"/>
  <c r="H132" i="5"/>
  <c r="E132" i="5"/>
  <c r="K131" i="5"/>
  <c r="G131" i="5"/>
  <c r="H131" i="5" s="1"/>
  <c r="E131" i="5"/>
  <c r="M130" i="5"/>
  <c r="M129" i="5"/>
  <c r="M128" i="5"/>
  <c r="K128" i="5"/>
  <c r="G128" i="5"/>
  <c r="H128" i="5" s="1"/>
  <c r="M127" i="5"/>
  <c r="K127" i="5"/>
  <c r="G127" i="5"/>
  <c r="H127" i="5" s="1"/>
  <c r="M126" i="5"/>
  <c r="K126" i="5"/>
  <c r="G126" i="5"/>
  <c r="H126" i="5" s="1"/>
  <c r="M125" i="5"/>
  <c r="K125" i="5"/>
  <c r="G125" i="5"/>
  <c r="H125" i="5" s="1"/>
  <c r="M124" i="5"/>
  <c r="K124" i="5"/>
  <c r="G124" i="5"/>
  <c r="H124" i="5" s="1"/>
  <c r="K123" i="5"/>
  <c r="G123" i="5"/>
  <c r="H123" i="5" s="1"/>
  <c r="E123" i="5"/>
  <c r="K122" i="5"/>
  <c r="G122" i="5"/>
  <c r="H122" i="5" s="1"/>
  <c r="E122" i="5"/>
  <c r="K121" i="5"/>
  <c r="G121" i="5"/>
  <c r="H121" i="5" s="1"/>
  <c r="E121" i="5"/>
  <c r="K120" i="5"/>
  <c r="G120" i="5"/>
  <c r="H120" i="5" s="1"/>
  <c r="E120" i="5"/>
  <c r="K119" i="5"/>
  <c r="G119" i="5"/>
  <c r="H119" i="5" s="1"/>
  <c r="E119" i="5"/>
  <c r="K118" i="5"/>
  <c r="G118" i="5"/>
  <c r="H118" i="5" s="1"/>
  <c r="K117" i="5"/>
  <c r="E117" i="5"/>
  <c r="K116" i="5"/>
  <c r="H116" i="5"/>
  <c r="K115" i="5"/>
  <c r="H115" i="5"/>
  <c r="D115" i="5"/>
  <c r="K114" i="5"/>
  <c r="H114" i="5"/>
  <c r="K113" i="5"/>
  <c r="E113" i="5"/>
  <c r="K112" i="5"/>
  <c r="H112" i="5"/>
  <c r="J111" i="5"/>
  <c r="K111" i="5" s="1"/>
  <c r="H111" i="5"/>
  <c r="J110" i="5"/>
  <c r="K110" i="5" s="1"/>
  <c r="H110" i="5"/>
  <c r="E110" i="5"/>
  <c r="K109" i="5"/>
  <c r="H109" i="5"/>
  <c r="D109" i="5"/>
  <c r="K108" i="5"/>
  <c r="H108" i="5"/>
  <c r="E108" i="5"/>
  <c r="D108" i="5"/>
  <c r="K107" i="5"/>
  <c r="H107" i="5"/>
  <c r="E107" i="5"/>
  <c r="K106" i="5"/>
  <c r="H106" i="5"/>
  <c r="E106" i="5"/>
  <c r="K105" i="5"/>
  <c r="H105" i="5"/>
  <c r="D105" i="5"/>
  <c r="J104" i="5"/>
  <c r="K104" i="5" s="1"/>
  <c r="H104" i="5"/>
  <c r="J103" i="5"/>
  <c r="K103" i="5" s="1"/>
  <c r="H103" i="5"/>
  <c r="E103" i="5"/>
  <c r="J102" i="5"/>
  <c r="K102" i="5" s="1"/>
  <c r="H102" i="5"/>
  <c r="M101" i="5"/>
  <c r="J101" i="5"/>
  <c r="K101" i="5" s="1"/>
  <c r="H101" i="5"/>
  <c r="K100" i="5"/>
  <c r="H100" i="5"/>
  <c r="D100" i="5"/>
  <c r="K99" i="5"/>
  <c r="H99" i="5"/>
  <c r="E99" i="5"/>
  <c r="K98" i="5"/>
  <c r="H98" i="5"/>
  <c r="E98" i="5"/>
  <c r="K97" i="5"/>
  <c r="H97" i="5"/>
  <c r="E97" i="5"/>
  <c r="K96" i="5"/>
  <c r="H96" i="5"/>
  <c r="E96" i="5"/>
  <c r="K95" i="5"/>
  <c r="H95" i="5"/>
  <c r="E95" i="5"/>
  <c r="J94" i="5"/>
  <c r="K94" i="5" s="1"/>
  <c r="H94" i="5"/>
  <c r="J93" i="5"/>
  <c r="K93" i="5" s="1"/>
  <c r="H93" i="5"/>
  <c r="D93" i="5"/>
  <c r="J92" i="5"/>
  <c r="K92" i="5" s="1"/>
  <c r="H92" i="5"/>
  <c r="J91" i="5"/>
  <c r="K91" i="5" s="1"/>
  <c r="H91" i="5"/>
  <c r="D91" i="5"/>
  <c r="J90" i="5"/>
  <c r="K90" i="5" s="1"/>
  <c r="H90" i="5"/>
  <c r="M89" i="5"/>
  <c r="J89" i="5"/>
  <c r="K89" i="5" s="1"/>
  <c r="H89" i="5"/>
  <c r="D89" i="5"/>
  <c r="J88" i="5"/>
  <c r="K88" i="5" s="1"/>
  <c r="H88" i="5"/>
  <c r="J87" i="5"/>
  <c r="K87" i="5" s="1"/>
  <c r="H87" i="5"/>
  <c r="J86" i="5"/>
  <c r="K86" i="5" s="1"/>
  <c r="H86" i="5"/>
  <c r="J85" i="5"/>
  <c r="K85" i="5" s="1"/>
  <c r="H85" i="5"/>
  <c r="D85" i="5"/>
  <c r="J84" i="5"/>
  <c r="K84" i="5" s="1"/>
  <c r="H84" i="5"/>
  <c r="E84" i="5"/>
  <c r="J83" i="5"/>
  <c r="K83" i="5" s="1"/>
  <c r="J82" i="5"/>
  <c r="K82" i="5" s="1"/>
  <c r="H82" i="5"/>
  <c r="E82" i="5"/>
  <c r="J81" i="5"/>
  <c r="K81" i="5" s="1"/>
  <c r="J80" i="5"/>
  <c r="K80" i="5" s="1"/>
  <c r="H80" i="5"/>
  <c r="J79" i="5"/>
  <c r="K79" i="5" s="1"/>
  <c r="J78" i="5"/>
  <c r="K78" i="5" s="1"/>
  <c r="H78" i="5"/>
  <c r="J77" i="5"/>
  <c r="K77" i="5" s="1"/>
  <c r="J76" i="5"/>
  <c r="K76" i="5" s="1"/>
  <c r="H76" i="5"/>
  <c r="E76" i="5"/>
  <c r="J75" i="5"/>
  <c r="K75" i="5" s="1"/>
  <c r="J74" i="5"/>
  <c r="K74" i="5" s="1"/>
  <c r="H74" i="5"/>
  <c r="E74" i="5"/>
  <c r="J73" i="5"/>
  <c r="K73" i="5" s="1"/>
  <c r="J72" i="5"/>
  <c r="K72" i="5" s="1"/>
  <c r="H72" i="5"/>
  <c r="E72" i="5"/>
  <c r="J71" i="5"/>
  <c r="K71" i="5" s="1"/>
  <c r="J70" i="5"/>
  <c r="K70" i="5" s="1"/>
  <c r="H70" i="5"/>
  <c r="E70" i="5"/>
  <c r="J69" i="5"/>
  <c r="K69" i="5" s="1"/>
  <c r="J68" i="5"/>
  <c r="K68" i="5" s="1"/>
  <c r="H68" i="5"/>
  <c r="K67" i="5"/>
  <c r="H67" i="5"/>
  <c r="E67" i="5"/>
  <c r="K66" i="5"/>
  <c r="G66" i="5"/>
  <c r="H66" i="5" s="1"/>
  <c r="E66" i="5"/>
  <c r="K65" i="5"/>
  <c r="G65" i="5"/>
  <c r="H65" i="5" s="1"/>
  <c r="E65" i="5"/>
  <c r="K64" i="5"/>
  <c r="G64" i="5"/>
  <c r="H64" i="5" s="1"/>
  <c r="E64" i="5"/>
  <c r="K63" i="5"/>
  <c r="G63" i="5"/>
  <c r="H63" i="5" s="1"/>
  <c r="E63" i="5"/>
  <c r="K62" i="5"/>
  <c r="G62" i="5"/>
  <c r="H62" i="5" s="1"/>
  <c r="E62" i="5"/>
  <c r="K61" i="5"/>
  <c r="G61" i="5"/>
  <c r="H61" i="5" s="1"/>
  <c r="E61" i="5"/>
  <c r="K60" i="5"/>
  <c r="G60" i="5"/>
  <c r="H60" i="5" s="1"/>
  <c r="E60" i="5"/>
  <c r="K59" i="5"/>
  <c r="H59" i="5"/>
  <c r="K58" i="5"/>
  <c r="G58" i="5"/>
  <c r="H58" i="5" s="1"/>
  <c r="D58" i="5"/>
  <c r="K57" i="5"/>
  <c r="G57" i="5"/>
  <c r="H57" i="5" s="1"/>
  <c r="D57" i="5"/>
  <c r="K56" i="5"/>
  <c r="G56" i="5"/>
  <c r="H56" i="5" s="1"/>
  <c r="D56" i="5"/>
  <c r="K55" i="5"/>
  <c r="H55" i="5"/>
  <c r="E55" i="5"/>
  <c r="K53" i="5"/>
  <c r="H53" i="5"/>
  <c r="E53" i="5"/>
  <c r="K52" i="5"/>
  <c r="G52" i="5"/>
  <c r="H52" i="5" s="1"/>
  <c r="E52" i="5"/>
  <c r="K51" i="5"/>
  <c r="G51" i="5"/>
  <c r="H51" i="5" s="1"/>
  <c r="E51" i="5"/>
  <c r="J50" i="5"/>
  <c r="K50" i="5" s="1"/>
  <c r="H50" i="5"/>
  <c r="J49" i="5"/>
  <c r="K49" i="5" s="1"/>
  <c r="H49" i="5"/>
  <c r="E49" i="5"/>
  <c r="J48" i="5"/>
  <c r="K48" i="5" s="1"/>
  <c r="H48" i="5"/>
  <c r="M47" i="5"/>
  <c r="J47" i="5"/>
  <c r="K47" i="5" s="1"/>
  <c r="H47" i="5"/>
  <c r="J46" i="5"/>
  <c r="K46" i="5" s="1"/>
  <c r="H46" i="5"/>
  <c r="M45" i="5"/>
  <c r="J45" i="5"/>
  <c r="K45" i="5" s="1"/>
  <c r="H45" i="5"/>
  <c r="J44" i="5"/>
  <c r="K44" i="5" s="1"/>
  <c r="H44" i="5"/>
  <c r="M43" i="5"/>
  <c r="J43" i="5"/>
  <c r="K43" i="5" s="1"/>
  <c r="H43" i="5"/>
  <c r="M42" i="5"/>
  <c r="J42" i="5"/>
  <c r="K42" i="5" s="1"/>
  <c r="H42" i="5"/>
  <c r="J41" i="5"/>
  <c r="K41" i="5" s="1"/>
  <c r="H41" i="5"/>
  <c r="M40" i="5"/>
  <c r="J40" i="5"/>
  <c r="K40" i="5" s="1"/>
  <c r="H40" i="5"/>
  <c r="J39" i="5"/>
  <c r="K39" i="5" s="1"/>
  <c r="H39" i="5"/>
  <c r="M38" i="5"/>
  <c r="J38" i="5"/>
  <c r="K38" i="5" s="1"/>
  <c r="H38" i="5"/>
  <c r="J37" i="5"/>
  <c r="K37" i="5" s="1"/>
  <c r="H37" i="5"/>
  <c r="M36" i="5"/>
  <c r="J36" i="5"/>
  <c r="K36" i="5" s="1"/>
  <c r="H36" i="5"/>
  <c r="J35" i="5"/>
  <c r="K35" i="5" s="1"/>
  <c r="H35" i="5"/>
  <c r="M34" i="5"/>
  <c r="J34" i="5"/>
  <c r="K34" i="5" s="1"/>
  <c r="H34" i="5"/>
  <c r="J33" i="5"/>
  <c r="K33" i="5" s="1"/>
  <c r="H33" i="5"/>
  <c r="M32" i="5"/>
  <c r="J32" i="5"/>
  <c r="K32" i="5" s="1"/>
  <c r="H32" i="5"/>
  <c r="J31" i="5"/>
  <c r="K31" i="5" s="1"/>
  <c r="H31" i="5"/>
  <c r="M30" i="5"/>
  <c r="J30" i="5"/>
  <c r="K30" i="5" s="1"/>
  <c r="H30" i="5"/>
  <c r="J29" i="5"/>
  <c r="K29" i="5" s="1"/>
  <c r="H29" i="5"/>
  <c r="M28" i="5"/>
  <c r="J28" i="5"/>
  <c r="K28" i="5" s="1"/>
  <c r="H28" i="5"/>
  <c r="J27" i="5"/>
  <c r="K27" i="5" s="1"/>
  <c r="H27" i="5"/>
  <c r="J26" i="5"/>
  <c r="K26" i="5" s="1"/>
  <c r="H26" i="5"/>
  <c r="E26" i="5"/>
  <c r="K25" i="5"/>
  <c r="H25" i="5"/>
  <c r="K24" i="5"/>
  <c r="H24" i="5"/>
  <c r="E24" i="5"/>
  <c r="K23" i="5"/>
  <c r="H23" i="5"/>
  <c r="E23" i="5"/>
  <c r="J22" i="5"/>
  <c r="K22" i="5" s="1"/>
  <c r="H22" i="5"/>
  <c r="E22" i="5"/>
  <c r="D22" i="5"/>
  <c r="K21" i="5"/>
  <c r="G21" i="5"/>
  <c r="H21" i="5" s="1"/>
  <c r="E21" i="5"/>
  <c r="K20" i="5"/>
  <c r="G20" i="5"/>
  <c r="H20" i="5" s="1"/>
  <c r="E20" i="5"/>
  <c r="J19" i="5"/>
  <c r="K19" i="5" s="1"/>
  <c r="J18" i="5"/>
  <c r="K18" i="5" s="1"/>
  <c r="E18" i="5"/>
  <c r="G17" i="5"/>
  <c r="H17" i="5" s="1"/>
  <c r="E17" i="5"/>
  <c r="G16" i="5"/>
  <c r="H16" i="5" s="1"/>
  <c r="E16" i="5"/>
  <c r="H15" i="5"/>
  <c r="E15" i="5"/>
  <c r="D15" i="5"/>
  <c r="J14" i="5"/>
  <c r="K14" i="5" s="1"/>
  <c r="J13" i="5"/>
  <c r="K13" i="5" s="1"/>
  <c r="H13" i="5"/>
  <c r="E13" i="5"/>
  <c r="J12" i="5"/>
  <c r="K12" i="5" s="1"/>
  <c r="J11" i="5"/>
  <c r="K11" i="5" s="1"/>
  <c r="H11" i="5"/>
  <c r="E11" i="5"/>
  <c r="J10" i="5"/>
  <c r="K10" i="5" s="1"/>
  <c r="H10" i="5"/>
  <c r="J9" i="5"/>
  <c r="K9" i="5" s="1"/>
  <c r="H9" i="5"/>
  <c r="M8" i="5"/>
  <c r="G8" i="5"/>
  <c r="H8" i="5" s="1"/>
  <c r="M134" i="3"/>
  <c r="M135" i="3"/>
  <c r="M130" i="3"/>
  <c r="M131" i="3"/>
  <c r="M132" i="3"/>
  <c r="M133" i="3"/>
  <c r="M129" i="3"/>
  <c r="E149" i="3"/>
  <c r="E143" i="3"/>
  <c r="E145" i="3"/>
  <c r="E147" i="3"/>
  <c r="E141" i="3"/>
  <c r="J149" i="3"/>
  <c r="K149" i="3" s="1"/>
  <c r="J141" i="3"/>
  <c r="K141" i="3" s="1"/>
  <c r="J142" i="3"/>
  <c r="K142" i="3" s="1"/>
  <c r="J143" i="3"/>
  <c r="K143" i="3" s="1"/>
  <c r="J144" i="3"/>
  <c r="K144" i="3" s="1"/>
  <c r="J145" i="3"/>
  <c r="K145" i="3" s="1"/>
  <c r="J146" i="3"/>
  <c r="K146" i="3" s="1"/>
  <c r="J147" i="3"/>
  <c r="K147" i="3" s="1"/>
  <c r="J148" i="3"/>
  <c r="K148" i="3" s="1"/>
  <c r="J140" i="3"/>
  <c r="K140" i="3" s="1"/>
  <c r="J139" i="3"/>
  <c r="K139" i="3" s="1"/>
  <c r="E139" i="3"/>
  <c r="E138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6" i="3"/>
  <c r="K137" i="3"/>
  <c r="J138" i="3"/>
  <c r="K138" i="3" s="1"/>
  <c r="E137" i="3"/>
  <c r="E136" i="3"/>
  <c r="E128" i="3"/>
  <c r="E127" i="3"/>
  <c r="E126" i="3"/>
  <c r="E125" i="3"/>
  <c r="E122" i="3"/>
  <c r="E124" i="3"/>
  <c r="G124" i="3"/>
  <c r="H124" i="3" s="1"/>
  <c r="G125" i="3"/>
  <c r="G126" i="3"/>
  <c r="H126" i="3" s="1"/>
  <c r="G127" i="3"/>
  <c r="H127" i="3" s="1"/>
  <c r="G128" i="3"/>
  <c r="H128" i="3" s="1"/>
  <c r="G129" i="3"/>
  <c r="H129" i="3" s="1"/>
  <c r="G130" i="3"/>
  <c r="H130" i="3" s="1"/>
  <c r="G131" i="3"/>
  <c r="H131" i="3" s="1"/>
  <c r="G132" i="3"/>
  <c r="H132" i="3" s="1"/>
  <c r="G133" i="3"/>
  <c r="H133" i="3" s="1"/>
  <c r="G136" i="3"/>
  <c r="H136" i="3" s="1"/>
  <c r="H137" i="3"/>
  <c r="H143" i="3"/>
  <c r="H125" i="3"/>
  <c r="H138" i="3"/>
  <c r="H139" i="3"/>
  <c r="H141" i="3"/>
  <c r="H145" i="3"/>
  <c r="H147" i="3"/>
  <c r="H149" i="3"/>
  <c r="G123" i="3"/>
  <c r="H123" i="3" s="1"/>
  <c r="H121" i="3"/>
  <c r="H120" i="3"/>
  <c r="D120" i="3"/>
  <c r="H119" i="3"/>
  <c r="E118" i="3"/>
  <c r="H114" i="3"/>
  <c r="K114" i="3"/>
  <c r="J116" i="3"/>
  <c r="K116" i="3" s="1"/>
  <c r="J115" i="3"/>
  <c r="K115" i="3" s="1"/>
  <c r="E115" i="3"/>
  <c r="E113" i="3"/>
  <c r="D114" i="3"/>
  <c r="D113" i="3"/>
  <c r="H117" i="3"/>
  <c r="H112" i="3"/>
  <c r="E112" i="3"/>
  <c r="E111" i="3"/>
  <c r="D110" i="3"/>
  <c r="D105" i="3"/>
  <c r="E108" i="3"/>
  <c r="J108" i="3"/>
  <c r="K108" i="3" s="1"/>
  <c r="J109" i="3"/>
  <c r="K109" i="3" s="1"/>
  <c r="H107" i="3"/>
  <c r="H108" i="3"/>
  <c r="H109" i="3"/>
  <c r="H110" i="3"/>
  <c r="H111" i="3"/>
  <c r="H113" i="3"/>
  <c r="H115" i="3"/>
  <c r="H116" i="3"/>
  <c r="K110" i="3"/>
  <c r="K111" i="3"/>
  <c r="K112" i="3"/>
  <c r="K113" i="3"/>
  <c r="J107" i="3"/>
  <c r="K107" i="3" s="1"/>
  <c r="J106" i="3"/>
  <c r="M106" i="3"/>
  <c r="H83" i="3"/>
  <c r="J83" i="3"/>
  <c r="K83" i="3" s="1"/>
  <c r="J84" i="3"/>
  <c r="K84" i="3" s="1"/>
  <c r="H85" i="3"/>
  <c r="J85" i="3"/>
  <c r="K85" i="3"/>
  <c r="J86" i="3"/>
  <c r="K86" i="3" s="1"/>
  <c r="E104" i="3"/>
  <c r="E101" i="3"/>
  <c r="E102" i="3"/>
  <c r="E103" i="3"/>
  <c r="E100" i="3"/>
  <c r="M94" i="3"/>
  <c r="D98" i="3"/>
  <c r="D96" i="3"/>
  <c r="D94" i="3"/>
  <c r="H95" i="3"/>
  <c r="H96" i="3"/>
  <c r="H97" i="3"/>
  <c r="H98" i="3"/>
  <c r="H99" i="3"/>
  <c r="K97" i="3"/>
  <c r="J96" i="3"/>
  <c r="J97" i="3"/>
  <c r="J98" i="3"/>
  <c r="K98" i="3" s="1"/>
  <c r="J99" i="3"/>
  <c r="K99" i="3" s="1"/>
  <c r="J95" i="3"/>
  <c r="K95" i="3" s="1"/>
  <c r="J94" i="3"/>
  <c r="K94" i="3" s="1"/>
  <c r="J92" i="3"/>
  <c r="K92" i="3" s="1"/>
  <c r="J93" i="3"/>
  <c r="H100" i="3"/>
  <c r="H101" i="3"/>
  <c r="H102" i="3"/>
  <c r="H103" i="3"/>
  <c r="H104" i="3"/>
  <c r="H105" i="3"/>
  <c r="H106" i="3"/>
  <c r="K93" i="3"/>
  <c r="K96" i="3"/>
  <c r="K100" i="3"/>
  <c r="K101" i="3"/>
  <c r="K102" i="3"/>
  <c r="K103" i="3"/>
  <c r="K104" i="3"/>
  <c r="K105" i="3"/>
  <c r="K106" i="3"/>
  <c r="H91" i="3"/>
  <c r="H92" i="3"/>
  <c r="H93" i="3"/>
  <c r="H94" i="3"/>
  <c r="J91" i="3"/>
  <c r="J90" i="3"/>
  <c r="K90" i="3" s="1"/>
  <c r="D90" i="3"/>
  <c r="E87" i="3"/>
  <c r="E89" i="3"/>
  <c r="J75" i="3"/>
  <c r="K75" i="3" s="1"/>
  <c r="J76" i="3"/>
  <c r="K76" i="3" s="1"/>
  <c r="J77" i="3"/>
  <c r="K77" i="3" s="1"/>
  <c r="J78" i="3"/>
  <c r="K78" i="3" s="1"/>
  <c r="J79" i="3"/>
  <c r="K79" i="3" s="1"/>
  <c r="J80" i="3"/>
  <c r="K80" i="3" s="1"/>
  <c r="J81" i="3"/>
  <c r="K81" i="3" s="1"/>
  <c r="J82" i="3"/>
  <c r="K82" i="3" s="1"/>
  <c r="J87" i="3"/>
  <c r="K87" i="3" s="1"/>
  <c r="J88" i="3"/>
  <c r="K88" i="3" s="1"/>
  <c r="J89" i="3"/>
  <c r="K89" i="3" s="1"/>
  <c r="K91" i="3"/>
  <c r="J74" i="3"/>
  <c r="K74" i="3" s="1"/>
  <c r="J73" i="3"/>
  <c r="K73" i="3" s="1"/>
  <c r="E77" i="3"/>
  <c r="E79" i="3"/>
  <c r="E81" i="3"/>
  <c r="E75" i="3"/>
  <c r="E72" i="3"/>
  <c r="G66" i="3"/>
  <c r="H66" i="3" s="1"/>
  <c r="G67" i="3"/>
  <c r="H67" i="3" s="1"/>
  <c r="G68" i="3"/>
  <c r="H68" i="3" s="1"/>
  <c r="G69" i="3"/>
  <c r="H69" i="3" s="1"/>
  <c r="G70" i="3"/>
  <c r="H70" i="3" s="1"/>
  <c r="G71" i="3"/>
  <c r="G65" i="3"/>
  <c r="H65" i="3" s="1"/>
  <c r="E69" i="3"/>
  <c r="E70" i="3"/>
  <c r="E71" i="3"/>
  <c r="E68" i="3"/>
  <c r="E67" i="3"/>
  <c r="E66" i="3"/>
  <c r="E65" i="3"/>
  <c r="D62" i="3"/>
  <c r="D63" i="3"/>
  <c r="G61" i="3"/>
  <c r="H61" i="3" s="1"/>
  <c r="G62" i="3"/>
  <c r="H62" i="3" s="1"/>
  <c r="G63" i="3"/>
  <c r="H63" i="3" s="1"/>
  <c r="D61" i="3"/>
  <c r="G57" i="3"/>
  <c r="H57" i="3" s="1"/>
  <c r="E57" i="3"/>
  <c r="E58" i="3"/>
  <c r="E60" i="3"/>
  <c r="E26" i="3"/>
  <c r="G26" i="3"/>
  <c r="H26" i="3" s="1"/>
  <c r="K26" i="3"/>
  <c r="H30" i="3"/>
  <c r="H27" i="3"/>
  <c r="H28" i="3"/>
  <c r="H29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8" i="3"/>
  <c r="H60" i="3"/>
  <c r="H64" i="3"/>
  <c r="H71" i="3"/>
  <c r="H72" i="3"/>
  <c r="H73" i="3"/>
  <c r="H75" i="3"/>
  <c r="H77" i="3"/>
  <c r="H79" i="3"/>
  <c r="H81" i="3"/>
  <c r="H87" i="3"/>
  <c r="H89" i="3"/>
  <c r="H90" i="3"/>
  <c r="K56" i="3"/>
  <c r="K57" i="3"/>
  <c r="K58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J54" i="3"/>
  <c r="K54" i="3" s="1"/>
  <c r="J55" i="3"/>
  <c r="K55" i="3" s="1"/>
  <c r="G56" i="3"/>
  <c r="H56" i="3" s="1"/>
  <c r="E56" i="3"/>
  <c r="E54" i="3"/>
  <c r="M13" i="3"/>
  <c r="M50" i="3"/>
  <c r="M52" i="3"/>
  <c r="M48" i="3"/>
  <c r="M47" i="3"/>
  <c r="M35" i="3"/>
  <c r="M37" i="3"/>
  <c r="M39" i="3"/>
  <c r="M41" i="3"/>
  <c r="M43" i="3"/>
  <c r="M45" i="3"/>
  <c r="M33" i="3"/>
  <c r="E31" i="3"/>
  <c r="F13" i="4"/>
  <c r="I13" i="4"/>
  <c r="J13" i="4"/>
  <c r="J14" i="4" s="1"/>
  <c r="K13" i="4"/>
  <c r="K14" i="4" s="1"/>
  <c r="M13" i="4"/>
  <c r="N13" i="4"/>
  <c r="N14" i="4" s="1"/>
  <c r="E13" i="4"/>
  <c r="E14" i="4" s="1"/>
  <c r="H12" i="4"/>
  <c r="E12" i="4"/>
  <c r="G11" i="4"/>
  <c r="H11" i="4" s="1"/>
  <c r="H8" i="4"/>
  <c r="G8" i="4"/>
  <c r="G7" i="4"/>
  <c r="G13" i="4" s="1"/>
  <c r="G14" i="4" s="1"/>
  <c r="J53" i="3"/>
  <c r="K53" i="3" s="1"/>
  <c r="J52" i="3"/>
  <c r="K52" i="3" s="1"/>
  <c r="J51" i="3"/>
  <c r="K51" i="3" s="1"/>
  <c r="J50" i="3"/>
  <c r="K50" i="3" s="1"/>
  <c r="J49" i="3"/>
  <c r="K49" i="3" s="1"/>
  <c r="J48" i="3"/>
  <c r="K48" i="3" s="1"/>
  <c r="J47" i="3"/>
  <c r="K47" i="3" s="1"/>
  <c r="J46" i="3"/>
  <c r="K46" i="3" s="1"/>
  <c r="J45" i="3"/>
  <c r="K45" i="3" s="1"/>
  <c r="J44" i="3"/>
  <c r="K44" i="3" s="1"/>
  <c r="J43" i="3"/>
  <c r="K43" i="3" s="1"/>
  <c r="J42" i="3"/>
  <c r="K42" i="3" s="1"/>
  <c r="J41" i="3"/>
  <c r="K41" i="3" s="1"/>
  <c r="J40" i="3"/>
  <c r="K40" i="3" s="1"/>
  <c r="J39" i="3"/>
  <c r="K39" i="3" s="1"/>
  <c r="J38" i="3"/>
  <c r="K38" i="3" s="1"/>
  <c r="J37" i="3"/>
  <c r="K37" i="3" s="1"/>
  <c r="J36" i="3"/>
  <c r="K36" i="3" s="1"/>
  <c r="J35" i="3"/>
  <c r="K35" i="3" s="1"/>
  <c r="J34" i="3"/>
  <c r="K34" i="3" s="1"/>
  <c r="J33" i="3"/>
  <c r="K33" i="3" s="1"/>
  <c r="J32" i="3"/>
  <c r="K32" i="3" s="1"/>
  <c r="J31" i="3"/>
  <c r="K31" i="3" s="1"/>
  <c r="K30" i="3"/>
  <c r="K29" i="3"/>
  <c r="E29" i="3"/>
  <c r="K28" i="3"/>
  <c r="E28" i="3"/>
  <c r="J27" i="3"/>
  <c r="K27" i="3" s="1"/>
  <c r="E27" i="3"/>
  <c r="D27" i="3"/>
  <c r="K25" i="3"/>
  <c r="G25" i="3"/>
  <c r="H25" i="3" s="1"/>
  <c r="E25" i="3"/>
  <c r="J24" i="3"/>
  <c r="K24" i="3" s="1"/>
  <c r="J23" i="3"/>
  <c r="K23" i="3" s="1"/>
  <c r="E23" i="3"/>
  <c r="G22" i="3"/>
  <c r="H22" i="3" s="1"/>
  <c r="E22" i="3"/>
  <c r="G21" i="3"/>
  <c r="H21" i="3" s="1"/>
  <c r="E21" i="3"/>
  <c r="H20" i="3"/>
  <c r="E20" i="3"/>
  <c r="D20" i="3"/>
  <c r="J19" i="3"/>
  <c r="K19" i="3" s="1"/>
  <c r="J18" i="3"/>
  <c r="K18" i="3" s="1"/>
  <c r="H18" i="3"/>
  <c r="E18" i="3"/>
  <c r="J17" i="3"/>
  <c r="K17" i="3" s="1"/>
  <c r="J16" i="3"/>
  <c r="K16" i="3" s="1"/>
  <c r="H16" i="3"/>
  <c r="E16" i="3"/>
  <c r="J15" i="3"/>
  <c r="K15" i="3" s="1"/>
  <c r="H15" i="3"/>
  <c r="J14" i="3"/>
  <c r="K14" i="3" s="1"/>
  <c r="H14" i="3"/>
  <c r="G13" i="3"/>
  <c r="H13" i="3" s="1"/>
  <c r="G12" i="3"/>
  <c r="H12" i="3" s="1"/>
  <c r="H11" i="3"/>
  <c r="E11" i="3"/>
  <c r="G10" i="3"/>
  <c r="H10" i="3" s="1"/>
  <c r="G7" i="3"/>
  <c r="H7" i="3" s="1"/>
  <c r="G6" i="3"/>
  <c r="H6" i="3" s="1"/>
  <c r="D146" i="5" l="1"/>
  <c r="D147" i="5" s="1"/>
  <c r="M146" i="5"/>
  <c r="M147" i="5" s="1"/>
  <c r="E146" i="5"/>
  <c r="E147" i="5" s="1"/>
  <c r="G146" i="5"/>
  <c r="G147" i="5" s="1"/>
  <c r="J146" i="5"/>
  <c r="J147" i="5" s="1"/>
  <c r="H146" i="5"/>
  <c r="H147" i="5" s="1"/>
  <c r="H7" i="4"/>
  <c r="H13" i="4" s="1"/>
  <c r="H14" i="4" s="1"/>
  <c r="K146" i="5"/>
  <c r="K147" i="5" s="1"/>
</calcChain>
</file>

<file path=xl/sharedStrings.xml><?xml version="1.0" encoding="utf-8"?>
<sst xmlns="http://schemas.openxmlformats.org/spreadsheetml/2006/main" count="1046" uniqueCount="325">
  <si>
    <t>Etage</t>
  </si>
  <si>
    <t>Service</t>
  </si>
  <si>
    <t>N° pièce</t>
  </si>
  <si>
    <t>RDJ</t>
  </si>
  <si>
    <t>Magasin</t>
  </si>
  <si>
    <t>PC sécu</t>
  </si>
  <si>
    <t>RDJ28</t>
  </si>
  <si>
    <t>RDJ27</t>
  </si>
  <si>
    <t>Hall d'entrée Passage unipersonnel</t>
  </si>
  <si>
    <t>RDJ37</t>
  </si>
  <si>
    <t>RDJ33</t>
  </si>
  <si>
    <t>RDC</t>
  </si>
  <si>
    <t>Façade</t>
  </si>
  <si>
    <t>PATIO ouvrant</t>
  </si>
  <si>
    <t>PATIO Fixe</t>
  </si>
  <si>
    <t>cloison vitrée sur allège</t>
  </si>
  <si>
    <t>Cloison vitrée TT Hauteur</t>
  </si>
  <si>
    <t>Fenêtre façade</t>
  </si>
  <si>
    <t>Fenêtre patio</t>
  </si>
  <si>
    <t xml:space="preserve">Vitrage Bow-window </t>
  </si>
  <si>
    <t>Porte vitrée</t>
  </si>
  <si>
    <t>Qté</t>
  </si>
  <si>
    <t>m²</t>
  </si>
  <si>
    <t>total</t>
  </si>
  <si>
    <t>non réalisé sur chantier</t>
  </si>
  <si>
    <t>non réalisé sur chantier 3ml</t>
  </si>
  <si>
    <t>non réalisé sur chantier 2,6ml</t>
  </si>
  <si>
    <t>Facade sas</t>
  </si>
  <si>
    <t>RDJ/RDC</t>
  </si>
  <si>
    <t>vitre escalier</t>
  </si>
  <si>
    <t>Esc</t>
  </si>
  <si>
    <t>RDC107</t>
  </si>
  <si>
    <t>Salle de conférence</t>
  </si>
  <si>
    <t>RDC110</t>
  </si>
  <si>
    <t>Local Info</t>
  </si>
  <si>
    <t>RDC081</t>
  </si>
  <si>
    <t>RDC082</t>
  </si>
  <si>
    <t>Bureau Entretien</t>
  </si>
  <si>
    <t>RDC083</t>
  </si>
  <si>
    <t>RDC084</t>
  </si>
  <si>
    <t>RDC085</t>
  </si>
  <si>
    <t>SDR01</t>
  </si>
  <si>
    <t>SDR02</t>
  </si>
  <si>
    <t>Sce Médical UTAA4</t>
  </si>
  <si>
    <t>RDC068</t>
  </si>
  <si>
    <t>RDC069</t>
  </si>
  <si>
    <t>RDC067</t>
  </si>
  <si>
    <t>SDR</t>
  </si>
  <si>
    <t>RDC059</t>
  </si>
  <si>
    <t>RDC057</t>
  </si>
  <si>
    <t>RDC052</t>
  </si>
  <si>
    <t>Sce Médical SDR</t>
  </si>
  <si>
    <t>Sce Médical Box</t>
  </si>
  <si>
    <t>RDC053</t>
  </si>
  <si>
    <t>RDC051</t>
  </si>
  <si>
    <t>RDC050</t>
  </si>
  <si>
    <t>RDC049</t>
  </si>
  <si>
    <t>RDC048</t>
  </si>
  <si>
    <t>RDC047</t>
  </si>
  <si>
    <t>RDC046</t>
  </si>
  <si>
    <t>RDC045</t>
  </si>
  <si>
    <t>RDC044</t>
  </si>
  <si>
    <t>RDC043</t>
  </si>
  <si>
    <t>RDC042</t>
  </si>
  <si>
    <t>RDC054</t>
  </si>
  <si>
    <t>RDC055</t>
  </si>
  <si>
    <t>RDC056</t>
  </si>
  <si>
    <t>Sce Médical UTF Num</t>
  </si>
  <si>
    <t xml:space="preserve">Sce Médical UTF </t>
  </si>
  <si>
    <t>Sce Médical Cabinet</t>
  </si>
  <si>
    <t>TOTAL</t>
  </si>
  <si>
    <t>Sce Médical CPC</t>
  </si>
  <si>
    <t>RDC028</t>
  </si>
  <si>
    <t>RDC030</t>
  </si>
  <si>
    <t>RDC029</t>
  </si>
  <si>
    <t>RDC027</t>
  </si>
  <si>
    <t>RDC023</t>
  </si>
  <si>
    <t>Sce Médical UTAA3</t>
  </si>
  <si>
    <t>Sce Médical DPM</t>
  </si>
  <si>
    <t>RDC060</t>
  </si>
  <si>
    <t>RDC058</t>
  </si>
  <si>
    <t>CARSAT</t>
  </si>
  <si>
    <t>RDC010</t>
  </si>
  <si>
    <t>RDC009</t>
  </si>
  <si>
    <t>RDC008</t>
  </si>
  <si>
    <t>RDC022</t>
  </si>
  <si>
    <t>Sce Social</t>
  </si>
  <si>
    <t>RDC007</t>
  </si>
  <si>
    <t>RDC006</t>
  </si>
  <si>
    <t>RDC005</t>
  </si>
  <si>
    <t>RDC004</t>
  </si>
  <si>
    <t>RDC003</t>
  </si>
  <si>
    <t>RDC002</t>
  </si>
  <si>
    <t>RDC001</t>
  </si>
  <si>
    <t>RDC012</t>
  </si>
  <si>
    <t>RDC015</t>
  </si>
  <si>
    <t>RDC016</t>
  </si>
  <si>
    <t>RDC017</t>
  </si>
  <si>
    <t>RDC018</t>
  </si>
  <si>
    <t>RDC019</t>
  </si>
  <si>
    <t>RDC020</t>
  </si>
  <si>
    <t>RDC021</t>
  </si>
  <si>
    <t>QVCT</t>
  </si>
  <si>
    <t>RDC014</t>
  </si>
  <si>
    <t>CIRCULATION</t>
  </si>
  <si>
    <t>SARU QVCT</t>
  </si>
  <si>
    <t>SARU Resp</t>
  </si>
  <si>
    <t>SARU Back office</t>
  </si>
  <si>
    <t>SARU Circulation Box</t>
  </si>
  <si>
    <t>SARU Box</t>
  </si>
  <si>
    <t>RDC024</t>
  </si>
  <si>
    <t>RDC025</t>
  </si>
  <si>
    <t>RDC026</t>
  </si>
  <si>
    <t>RDC039</t>
  </si>
  <si>
    <t>RDC038</t>
  </si>
  <si>
    <t>RDC037</t>
  </si>
  <si>
    <t>RDC036</t>
  </si>
  <si>
    <t>RDC035</t>
  </si>
  <si>
    <t>RDC034</t>
  </si>
  <si>
    <t>SARU Manager Superviseur</t>
  </si>
  <si>
    <t>RDC065</t>
  </si>
  <si>
    <t>RDC066</t>
  </si>
  <si>
    <t>Sce Social Box</t>
  </si>
  <si>
    <t>SARU Box PS</t>
  </si>
  <si>
    <t>RDC063</t>
  </si>
  <si>
    <t>SARU Salle d'attente</t>
  </si>
  <si>
    <t>RDC--</t>
  </si>
  <si>
    <t>SARU PC Sécurité</t>
  </si>
  <si>
    <t>RDC031</t>
  </si>
  <si>
    <t>SASU Sas Entrée</t>
  </si>
  <si>
    <t>SARU Atelier Multimédia</t>
  </si>
  <si>
    <t>SARU Show-room PS</t>
  </si>
  <si>
    <t>SARU SDR</t>
  </si>
  <si>
    <t>RDC062</t>
  </si>
  <si>
    <t>Stock Concièrgerie</t>
  </si>
  <si>
    <t xml:space="preserve">Circulation </t>
  </si>
  <si>
    <t>RDC061</t>
  </si>
  <si>
    <t>Concièrgerie</t>
  </si>
  <si>
    <t>RDC070</t>
  </si>
  <si>
    <t>SAS Entrée Personnels</t>
  </si>
  <si>
    <t>PC Sécurité Entrée perso+ces</t>
  </si>
  <si>
    <t>RDC087</t>
  </si>
  <si>
    <t>SAS Entrée CES</t>
  </si>
  <si>
    <t>CES Box1</t>
  </si>
  <si>
    <t>CES Box2</t>
  </si>
  <si>
    <t>CES Box3</t>
  </si>
  <si>
    <t>Circulation</t>
  </si>
  <si>
    <t>RDC093</t>
  </si>
  <si>
    <t>RDC092</t>
  </si>
  <si>
    <t>RDC094</t>
  </si>
  <si>
    <t>CES Secrétariat</t>
  </si>
  <si>
    <t>RDC095</t>
  </si>
  <si>
    <t>RDC096</t>
  </si>
  <si>
    <t>RDC097</t>
  </si>
  <si>
    <t>RDC098</t>
  </si>
  <si>
    <t>RDC099</t>
  </si>
  <si>
    <t>RDC100</t>
  </si>
  <si>
    <t>RDC101</t>
  </si>
  <si>
    <t>RDC102</t>
  </si>
  <si>
    <t>RDC103</t>
  </si>
  <si>
    <t>CES Resp Adj</t>
  </si>
  <si>
    <t>CES Medecin chef</t>
  </si>
  <si>
    <t>CES Cabinet inf</t>
  </si>
  <si>
    <t>CES - SDR</t>
  </si>
  <si>
    <t>CES Prlvt</t>
  </si>
  <si>
    <t>RDC071</t>
  </si>
  <si>
    <t>RDC072</t>
  </si>
  <si>
    <t>RDC073</t>
  </si>
  <si>
    <t>RDC074</t>
  </si>
  <si>
    <t>RDC075</t>
  </si>
  <si>
    <t>RDC076</t>
  </si>
  <si>
    <t>RDC077</t>
  </si>
  <si>
    <t>RDC078</t>
  </si>
  <si>
    <t>Cabinet Médecin</t>
  </si>
  <si>
    <t>CES Tisanerie</t>
  </si>
  <si>
    <t>CES Cabinet Dentiste</t>
  </si>
  <si>
    <t>CES Cabinet Gynéco</t>
  </si>
  <si>
    <t>RDC89</t>
  </si>
  <si>
    <t>RDC90</t>
  </si>
  <si>
    <t>TOTAL double face</t>
  </si>
  <si>
    <t>CES Sanitaire</t>
  </si>
  <si>
    <t>CES Sanitaires</t>
  </si>
  <si>
    <t>R+1</t>
  </si>
  <si>
    <t>PF2M - QVCT</t>
  </si>
  <si>
    <t>PF2M</t>
  </si>
  <si>
    <t>PF2M- nano</t>
  </si>
  <si>
    <t>Cafétériat</t>
  </si>
  <si>
    <t>PF2M- QVCT</t>
  </si>
  <si>
    <t>PF2M - Resp.</t>
  </si>
  <si>
    <t>PF2M - Macro</t>
  </si>
  <si>
    <t>NANO</t>
  </si>
  <si>
    <t>Salle Multi-activités</t>
  </si>
  <si>
    <t>Salle de Formation</t>
  </si>
  <si>
    <t>Pf2M - Nano</t>
  </si>
  <si>
    <t>Repro</t>
  </si>
  <si>
    <t>TOTAL Double face</t>
  </si>
  <si>
    <t xml:space="preserve">non réalisé sur chantier </t>
  </si>
  <si>
    <t>R+2</t>
  </si>
  <si>
    <t>CODEM</t>
  </si>
  <si>
    <t>CODEM - Resp</t>
  </si>
  <si>
    <t>MACRO</t>
  </si>
  <si>
    <t>CSE - Médiathèque</t>
  </si>
  <si>
    <t>CSE</t>
  </si>
  <si>
    <t>CSE - Bureau Elu</t>
  </si>
  <si>
    <t>Espace Restauration</t>
  </si>
  <si>
    <t>IRP</t>
  </si>
  <si>
    <t>Syndicat 01</t>
  </si>
  <si>
    <t>Syndicat 02</t>
  </si>
  <si>
    <t>Syndicat 03</t>
  </si>
  <si>
    <t>MICRO</t>
  </si>
  <si>
    <t>COSMI - Nano</t>
  </si>
  <si>
    <t>COSMI</t>
  </si>
  <si>
    <t>COSMI - Resp.</t>
  </si>
  <si>
    <t>CODEM - Salle des machines</t>
  </si>
  <si>
    <t>CODEM - Macro</t>
  </si>
  <si>
    <t>Tisanerie</t>
  </si>
  <si>
    <t>R+3</t>
  </si>
  <si>
    <t>Responsables de Département</t>
  </si>
  <si>
    <t>Micro</t>
  </si>
  <si>
    <t>DIOP - Nano</t>
  </si>
  <si>
    <t>DIOP</t>
  </si>
  <si>
    <t>FSA</t>
  </si>
  <si>
    <t>FSA - Nano</t>
  </si>
  <si>
    <t>FSA - Resp.</t>
  </si>
  <si>
    <t>FSA - Bur</t>
  </si>
  <si>
    <t>FSA - Macro</t>
  </si>
  <si>
    <t>SAGESS</t>
  </si>
  <si>
    <t>SAGESS - Nano</t>
  </si>
  <si>
    <t>SAGESS/RCT - Resp.</t>
  </si>
  <si>
    <t>RCT - Nano</t>
  </si>
  <si>
    <t>RCT</t>
  </si>
  <si>
    <t>R+4</t>
  </si>
  <si>
    <t>RPS - Nano</t>
  </si>
  <si>
    <t>RPS</t>
  </si>
  <si>
    <t>RPS /GDR - Resp.</t>
  </si>
  <si>
    <t>GDR</t>
  </si>
  <si>
    <t>REZONE</t>
  </si>
  <si>
    <t>SIL</t>
  </si>
  <si>
    <t>SIL - Micro</t>
  </si>
  <si>
    <t>SIL/SASI - Resp.</t>
  </si>
  <si>
    <t>SASI - Micro</t>
  </si>
  <si>
    <t>SASI</t>
  </si>
  <si>
    <t>SASI - Stock</t>
  </si>
  <si>
    <t>Sce Médical - ULAF</t>
  </si>
  <si>
    <t>Sce Médical - GDR USA</t>
  </si>
  <si>
    <t>Sce Médical - GDR-ULAF-USA</t>
  </si>
  <si>
    <t>LCF</t>
  </si>
  <si>
    <t>LCF - Nano</t>
  </si>
  <si>
    <t>Contentieux général</t>
  </si>
  <si>
    <t>CG - Nano</t>
  </si>
  <si>
    <t>LCF/CG - Resp.</t>
  </si>
  <si>
    <t>CG - Micro</t>
  </si>
  <si>
    <t>TISANERIE</t>
  </si>
  <si>
    <t>TOTTAL Double face</t>
  </si>
  <si>
    <t>R+5</t>
  </si>
  <si>
    <t>SAMA</t>
  </si>
  <si>
    <t>SAMA - Nano</t>
  </si>
  <si>
    <t>DALI - Showroom</t>
  </si>
  <si>
    <t>SAMA/SPI - Resp</t>
  </si>
  <si>
    <t xml:space="preserve">DALI </t>
  </si>
  <si>
    <t>SPI - Gestionniares</t>
  </si>
  <si>
    <t>SPI - Atelier</t>
  </si>
  <si>
    <t>Bulle</t>
  </si>
  <si>
    <t>E-Santé</t>
  </si>
  <si>
    <t>MISAS</t>
  </si>
  <si>
    <t>ASS/Prévention</t>
  </si>
  <si>
    <t>SAAS - Micro</t>
  </si>
  <si>
    <t>PSS - Nano</t>
  </si>
  <si>
    <t>SAAS - Nano</t>
  </si>
  <si>
    <t>PSS - Micro</t>
  </si>
  <si>
    <t>CAM</t>
  </si>
  <si>
    <t xml:space="preserve">PSS </t>
  </si>
  <si>
    <t>ACF - Nano</t>
  </si>
  <si>
    <t xml:space="preserve">ACF </t>
  </si>
  <si>
    <t>ACF/CVC - Resp.</t>
  </si>
  <si>
    <t>CVC - Nano</t>
  </si>
  <si>
    <t>CVC</t>
  </si>
  <si>
    <t>R+6</t>
  </si>
  <si>
    <t>DRH</t>
  </si>
  <si>
    <t>R+7</t>
  </si>
  <si>
    <t>DRH - Inf/SST</t>
  </si>
  <si>
    <t>DRH - Cabinet Inf</t>
  </si>
  <si>
    <t>DRH - Bur. Conf.</t>
  </si>
  <si>
    <t>TERRASSE</t>
  </si>
  <si>
    <t>Sce Médical - UPS</t>
  </si>
  <si>
    <t>INVALIDITE</t>
  </si>
  <si>
    <t>Nano</t>
  </si>
  <si>
    <t>INVALIDITE/RECO - Resp</t>
  </si>
  <si>
    <t>RECO AT/MP</t>
  </si>
  <si>
    <t>Enquêteurs AT/MP</t>
  </si>
  <si>
    <t>Indemnité Journalières</t>
  </si>
  <si>
    <t>IJ - Nano</t>
  </si>
  <si>
    <t>DRH -RSO</t>
  </si>
  <si>
    <t>DRH-RSO Nano</t>
  </si>
  <si>
    <t>DRH - Relation Social</t>
  </si>
  <si>
    <t>DRH - Resp. Dep</t>
  </si>
  <si>
    <t>DRH - Nano</t>
  </si>
  <si>
    <t>DIRECTEUR GENERAL</t>
  </si>
  <si>
    <t>Directeur Comptable et Financier</t>
  </si>
  <si>
    <t>Sécrétariat Dir -Resp</t>
  </si>
  <si>
    <t>Secrétariat DIR</t>
  </si>
  <si>
    <t>Chefferie de Projet</t>
  </si>
  <si>
    <t>Médiation</t>
  </si>
  <si>
    <t>Sce COM/Marketing</t>
  </si>
  <si>
    <t>Vestiaires</t>
  </si>
  <si>
    <t>Salle du Conseil / Co-Working</t>
  </si>
  <si>
    <t>CGADS</t>
  </si>
  <si>
    <t>Sce Médical Cadre</t>
  </si>
  <si>
    <t>Sce Médical - Cellule d'appui</t>
  </si>
  <si>
    <t>Sce Médical - Medecin Chef</t>
  </si>
  <si>
    <t>AGENTS DE DIR</t>
  </si>
  <si>
    <t>713/714</t>
  </si>
  <si>
    <t>Sce Médical - Stock</t>
  </si>
  <si>
    <t>CO-WORKING</t>
  </si>
  <si>
    <t>QUANTITATIFS VITRAGES INTERIEUR ET EXTERIEUR</t>
  </si>
  <si>
    <t>TABLEAU GENERAL</t>
  </si>
  <si>
    <t>TABLEAU RDJ</t>
  </si>
  <si>
    <t>TABLEAU RDC</t>
  </si>
  <si>
    <t>TABLEAU R+1</t>
  </si>
  <si>
    <t>TABLEAU R+2</t>
  </si>
  <si>
    <t>TABLEAU R+3</t>
  </si>
  <si>
    <t>TABLEAU R+4</t>
  </si>
  <si>
    <t>TABLEAU R+5</t>
  </si>
  <si>
    <t>TABLEAU R+6</t>
  </si>
  <si>
    <t>TABLEAU R+7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</si>
</sst>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4" fontId="0" fillId="0" borderId="0" xfId="0" applyNumberFormat="1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left" vertical="center"/>
    </xf>
    <xf numFmtId="0" fontId="0" fillId="0" borderId="1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0" fontId="0" fillId="0" borderId="14" xfId="0" applyBorder="1"/>
    <xf numFmtId="0" fontId="0" fillId="0" borderId="15" xfId="0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" fontId="0" fillId="0" borderId="1" xfId="0" applyNumberFormat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20" xfId="0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0" fillId="0" borderId="20" xfId="0" applyNumberForma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 wrapText="1"/>
    </xf>
    <xf numFmtId="0" fontId="0" fillId="0" borderId="17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1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4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0" fontId="0" fillId="0" borderId="14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6" xfId="0" applyFont="1" applyFill="1" applyBorder="1" applyAlignment="1">
      <alignment horizontal="right" vertical="center"/>
    </xf>
    <xf numFmtId="0" fontId="1" fillId="0" borderId="17" xfId="0" applyFont="1" applyFill="1" applyBorder="1" applyAlignment="1">
      <alignment horizontal="right" vertical="center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4" fontId="1" fillId="2" borderId="22" xfId="0" applyNumberFormat="1" applyFont="1" applyFill="1" applyBorder="1" applyAlignment="1">
      <alignment horizontal="center" vertical="center" wrapText="1"/>
    </xf>
    <xf numFmtId="4" fontId="1" fillId="2" borderId="23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4" fontId="0" fillId="0" borderId="14" xfId="0" applyNumberFormat="1" applyFill="1" applyBorder="1" applyAlignment="1">
      <alignment horizontal="center" vertical="center"/>
    </xf>
    <xf numFmtId="0" fontId="0" fillId="0" borderId="3" xfId="0" applyNumberFormat="1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1"/>
  <sheetViews>
    <sheetView tabSelected="1" workbookViewId="0">
      <pane ySplit="5" topLeftCell="A6" activePane="bottomLeft" state="frozen"/>
      <selection pane="bottomLeft" sqref="A1:N2"/>
    </sheetView>
  </sheetViews>
  <sheetFormatPr baseColWidth="10" defaultRowHeight="15" x14ac:dyDescent="0.25"/>
  <cols>
    <col min="1" max="1" width="10.85546875" style="2"/>
    <col min="2" max="2" width="30.140625" style="3" bestFit="1" customWidth="1"/>
    <col min="3" max="3" width="10.85546875" style="2"/>
    <col min="4" max="5" width="13.7109375" style="7" customWidth="1"/>
    <col min="6" max="6" width="5.7109375" style="2" customWidth="1"/>
    <col min="7" max="7" width="6.28515625" style="7" bestFit="1" customWidth="1"/>
    <col min="8" max="8" width="7.7109375" style="7" bestFit="1" customWidth="1"/>
    <col min="9" max="9" width="7.28515625" style="2" customWidth="1"/>
    <col min="10" max="10" width="7.28515625" style="7" customWidth="1"/>
    <col min="11" max="11" width="6.28515625" style="7" customWidth="1"/>
    <col min="12" max="12" width="6.28515625" style="72" customWidth="1"/>
    <col min="13" max="13" width="9.42578125" style="7" customWidth="1"/>
    <col min="14" max="14" width="13.7109375" style="2" customWidth="1"/>
  </cols>
  <sheetData>
    <row r="1" spans="1:14" ht="28.5" x14ac:dyDescent="0.25">
      <c r="A1" s="138" t="s">
        <v>314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4" ht="18.75" x14ac:dyDescent="0.25">
      <c r="A2" s="145" t="s">
        <v>315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ht="15.75" thickBot="1" x14ac:dyDescent="0.3"/>
    <row r="4" spans="1:14" s="1" customFormat="1" ht="29.1" customHeight="1" x14ac:dyDescent="0.25">
      <c r="A4" s="122" t="s">
        <v>0</v>
      </c>
      <c r="B4" s="124" t="s">
        <v>1</v>
      </c>
      <c r="C4" s="124" t="s">
        <v>2</v>
      </c>
      <c r="D4" s="48" t="s">
        <v>15</v>
      </c>
      <c r="E4" s="48" t="s">
        <v>16</v>
      </c>
      <c r="F4" s="124" t="s">
        <v>17</v>
      </c>
      <c r="G4" s="124"/>
      <c r="H4" s="124"/>
      <c r="I4" s="124" t="s">
        <v>18</v>
      </c>
      <c r="J4" s="124"/>
      <c r="K4" s="124"/>
      <c r="L4" s="113" t="s">
        <v>20</v>
      </c>
      <c r="M4" s="113"/>
      <c r="N4" s="23" t="s">
        <v>19</v>
      </c>
    </row>
    <row r="5" spans="1:14" s="1" customFormat="1" ht="15.75" thickBot="1" x14ac:dyDescent="0.3">
      <c r="A5" s="123"/>
      <c r="B5" s="125"/>
      <c r="C5" s="125"/>
      <c r="D5" s="32" t="s">
        <v>22</v>
      </c>
      <c r="E5" s="32" t="s">
        <v>22</v>
      </c>
      <c r="F5" s="31" t="s">
        <v>21</v>
      </c>
      <c r="G5" s="32" t="s">
        <v>22</v>
      </c>
      <c r="H5" s="32" t="s">
        <v>23</v>
      </c>
      <c r="I5" s="31" t="s">
        <v>21</v>
      </c>
      <c r="J5" s="32" t="s">
        <v>22</v>
      </c>
      <c r="K5" s="32" t="s">
        <v>23</v>
      </c>
      <c r="L5" s="76" t="s">
        <v>21</v>
      </c>
      <c r="M5" s="32" t="s">
        <v>22</v>
      </c>
      <c r="N5" s="33" t="s">
        <v>22</v>
      </c>
    </row>
    <row r="6" spans="1:14" s="4" customFormat="1" x14ac:dyDescent="0.25">
      <c r="A6" s="126" t="s">
        <v>3</v>
      </c>
      <c r="B6" s="27" t="s">
        <v>4</v>
      </c>
      <c r="C6" s="28" t="s">
        <v>10</v>
      </c>
      <c r="D6" s="29"/>
      <c r="E6" s="29"/>
      <c r="F6" s="28">
        <v>2</v>
      </c>
      <c r="G6" s="29">
        <f>0.72*1.42</f>
        <v>1.0224</v>
      </c>
      <c r="H6" s="29">
        <f>F6*G6</f>
        <v>2.0448</v>
      </c>
      <c r="I6" s="28"/>
      <c r="J6" s="29"/>
      <c r="K6" s="29"/>
      <c r="L6" s="84"/>
      <c r="M6" s="29"/>
      <c r="N6" s="30"/>
    </row>
    <row r="7" spans="1:14" x14ac:dyDescent="0.25">
      <c r="A7" s="127"/>
      <c r="B7" s="44" t="s">
        <v>4</v>
      </c>
      <c r="C7" s="43" t="s">
        <v>9</v>
      </c>
      <c r="D7" s="63">
        <v>2.6</v>
      </c>
      <c r="E7" s="45"/>
      <c r="F7" s="43">
        <v>4</v>
      </c>
      <c r="G7" s="15">
        <f>0.72*1.42</f>
        <v>1.0224</v>
      </c>
      <c r="H7" s="15">
        <f>F7*G7</f>
        <v>4.0895999999999999</v>
      </c>
      <c r="I7" s="43"/>
      <c r="J7" s="45"/>
      <c r="K7" s="45"/>
      <c r="L7" s="78">
        <v>1</v>
      </c>
      <c r="M7" s="63">
        <v>1.98</v>
      </c>
      <c r="N7" s="25"/>
    </row>
    <row r="8" spans="1:14" x14ac:dyDescent="0.25">
      <c r="A8" s="127"/>
      <c r="B8" s="44" t="s">
        <v>5</v>
      </c>
      <c r="C8" s="43" t="s">
        <v>6</v>
      </c>
      <c r="D8" s="63">
        <v>3</v>
      </c>
      <c r="E8" s="45"/>
      <c r="F8" s="43"/>
      <c r="G8" s="45"/>
      <c r="H8" s="45"/>
      <c r="I8" s="43"/>
      <c r="J8" s="45"/>
      <c r="K8" s="45"/>
      <c r="L8" s="78">
        <v>2</v>
      </c>
      <c r="M8" s="63">
        <v>1.98</v>
      </c>
      <c r="N8" s="25"/>
    </row>
    <row r="9" spans="1:14" x14ac:dyDescent="0.25">
      <c r="A9" s="127"/>
      <c r="B9" s="44" t="s">
        <v>8</v>
      </c>
      <c r="C9" s="43" t="s">
        <v>7</v>
      </c>
      <c r="D9" s="63">
        <v>15</v>
      </c>
      <c r="E9" s="45"/>
      <c r="F9" s="43"/>
      <c r="G9" s="45"/>
      <c r="H9" s="45"/>
      <c r="I9" s="43"/>
      <c r="J9" s="45"/>
      <c r="K9" s="45"/>
      <c r="L9" s="78"/>
      <c r="M9" s="45"/>
      <c r="N9" s="25"/>
    </row>
    <row r="10" spans="1:14" ht="15.75" thickBot="1" x14ac:dyDescent="0.3">
      <c r="A10" s="128"/>
      <c r="B10" s="35" t="s">
        <v>27</v>
      </c>
      <c r="C10" s="36" t="s">
        <v>6</v>
      </c>
      <c r="D10" s="37"/>
      <c r="E10" s="37"/>
      <c r="F10" s="36">
        <v>3</v>
      </c>
      <c r="G10" s="37">
        <f>1*2.22</f>
        <v>2.2200000000000002</v>
      </c>
      <c r="H10" s="37">
        <f>F10*G10</f>
        <v>6.66</v>
      </c>
      <c r="I10" s="36"/>
      <c r="J10" s="37"/>
      <c r="K10" s="37"/>
      <c r="L10" s="80"/>
      <c r="M10" s="37"/>
      <c r="N10" s="39"/>
    </row>
    <row r="11" spans="1:14" ht="15.75" thickBot="1" x14ac:dyDescent="0.3">
      <c r="A11" s="64" t="s">
        <v>28</v>
      </c>
      <c r="B11" s="65" t="s">
        <v>29</v>
      </c>
      <c r="C11" s="66" t="s">
        <v>30</v>
      </c>
      <c r="D11" s="67"/>
      <c r="E11" s="67">
        <f>0.8*5</f>
        <v>4</v>
      </c>
      <c r="F11" s="66"/>
      <c r="G11" s="67"/>
      <c r="H11" s="67">
        <f t="shared" ref="H11:H79" si="0">F11*G11</f>
        <v>0</v>
      </c>
      <c r="I11" s="66"/>
      <c r="J11" s="67"/>
      <c r="K11" s="67"/>
      <c r="L11" s="85"/>
      <c r="M11" s="67"/>
      <c r="N11" s="68"/>
    </row>
    <row r="12" spans="1:14" x14ac:dyDescent="0.25">
      <c r="A12" s="129" t="s">
        <v>11</v>
      </c>
      <c r="B12" s="50" t="s">
        <v>12</v>
      </c>
      <c r="C12" s="51" t="s">
        <v>31</v>
      </c>
      <c r="D12" s="52"/>
      <c r="E12" s="52"/>
      <c r="F12" s="51">
        <v>3</v>
      </c>
      <c r="G12" s="52">
        <f>2.28*1</f>
        <v>2.2799999999999998</v>
      </c>
      <c r="H12" s="52">
        <f t="shared" si="0"/>
        <v>6.84</v>
      </c>
      <c r="I12" s="51"/>
      <c r="J12" s="52"/>
      <c r="K12" s="52"/>
      <c r="L12" s="77"/>
      <c r="M12" s="52"/>
      <c r="N12" s="53"/>
    </row>
    <row r="13" spans="1:14" x14ac:dyDescent="0.25">
      <c r="A13" s="101"/>
      <c r="B13" s="44" t="s">
        <v>32</v>
      </c>
      <c r="C13" s="43" t="s">
        <v>33</v>
      </c>
      <c r="D13" s="45"/>
      <c r="E13" s="45"/>
      <c r="F13" s="43">
        <v>4</v>
      </c>
      <c r="G13" s="45">
        <f>0.73*(1.44+0.7)</f>
        <v>1.5621999999999998</v>
      </c>
      <c r="H13" s="45">
        <f t="shared" si="0"/>
        <v>6.2487999999999992</v>
      </c>
      <c r="I13" s="43"/>
      <c r="J13" s="45"/>
      <c r="K13" s="45"/>
      <c r="L13" s="78">
        <v>1</v>
      </c>
      <c r="M13" s="139">
        <f>0.68*1.78</f>
        <v>1.2104000000000001</v>
      </c>
      <c r="N13" s="25"/>
    </row>
    <row r="14" spans="1:14" x14ac:dyDescent="0.25">
      <c r="A14" s="101"/>
      <c r="B14" s="99" t="s">
        <v>34</v>
      </c>
      <c r="C14" s="98" t="s">
        <v>35</v>
      </c>
      <c r="D14" s="45"/>
      <c r="E14" s="45"/>
      <c r="F14" s="43"/>
      <c r="G14" s="45"/>
      <c r="H14" s="45">
        <f t="shared" si="0"/>
        <v>0</v>
      </c>
      <c r="I14" s="43">
        <v>2</v>
      </c>
      <c r="J14" s="45">
        <f>0.77*(1.46+0.7)</f>
        <v>1.6632000000000002</v>
      </c>
      <c r="K14" s="45">
        <f>I14*J14</f>
        <v>3.3264000000000005</v>
      </c>
      <c r="L14" s="78"/>
      <c r="M14" s="45"/>
      <c r="N14" s="25"/>
    </row>
    <row r="15" spans="1:14" x14ac:dyDescent="0.25">
      <c r="A15" s="101"/>
      <c r="B15" s="99"/>
      <c r="C15" s="98"/>
      <c r="D15" s="45"/>
      <c r="E15" s="45"/>
      <c r="F15" s="43"/>
      <c r="G15" s="45"/>
      <c r="H15" s="45">
        <f t="shared" si="0"/>
        <v>0</v>
      </c>
      <c r="I15" s="43">
        <v>1</v>
      </c>
      <c r="J15" s="45">
        <f>0.77*2.25</f>
        <v>1.7324999999999999</v>
      </c>
      <c r="K15" s="45">
        <f>I15*J15</f>
        <v>1.7324999999999999</v>
      </c>
      <c r="L15" s="78"/>
      <c r="M15" s="45"/>
      <c r="N15" s="25"/>
    </row>
    <row r="16" spans="1:14" x14ac:dyDescent="0.25">
      <c r="A16" s="101"/>
      <c r="B16" s="99" t="s">
        <v>37</v>
      </c>
      <c r="C16" s="98" t="s">
        <v>36</v>
      </c>
      <c r="D16" s="97"/>
      <c r="E16" s="97">
        <f>1.83*1.55</f>
        <v>2.8365</v>
      </c>
      <c r="F16" s="43"/>
      <c r="G16" s="45"/>
      <c r="H16" s="45">
        <f t="shared" si="0"/>
        <v>0</v>
      </c>
      <c r="I16" s="43">
        <v>1</v>
      </c>
      <c r="J16" s="45">
        <f>0.77*(1.46+0.7)</f>
        <v>1.6632000000000002</v>
      </c>
      <c r="K16" s="45">
        <f>I16*J16</f>
        <v>1.6632000000000002</v>
      </c>
      <c r="L16" s="78"/>
      <c r="M16" s="45"/>
      <c r="N16" s="25"/>
    </row>
    <row r="17" spans="1:14" x14ac:dyDescent="0.25">
      <c r="A17" s="101"/>
      <c r="B17" s="99"/>
      <c r="C17" s="98"/>
      <c r="D17" s="97"/>
      <c r="E17" s="97"/>
      <c r="F17" s="43"/>
      <c r="G17" s="45"/>
      <c r="H17" s="45"/>
      <c r="I17" s="43">
        <v>2</v>
      </c>
      <c r="J17" s="45">
        <f>0.77*2.25</f>
        <v>1.7324999999999999</v>
      </c>
      <c r="K17" s="45">
        <f>I17*J17</f>
        <v>3.4649999999999999</v>
      </c>
      <c r="L17" s="78"/>
      <c r="M17" s="45"/>
      <c r="N17" s="25"/>
    </row>
    <row r="18" spans="1:14" x14ac:dyDescent="0.25">
      <c r="A18" s="101"/>
      <c r="B18" s="99" t="s">
        <v>41</v>
      </c>
      <c r="C18" s="98" t="s">
        <v>38</v>
      </c>
      <c r="D18" s="97"/>
      <c r="E18" s="97">
        <f>1.83*5.77</f>
        <v>10.559099999999999</v>
      </c>
      <c r="F18" s="43"/>
      <c r="G18" s="45"/>
      <c r="H18" s="45">
        <f t="shared" si="0"/>
        <v>0</v>
      </c>
      <c r="I18" s="43">
        <v>1</v>
      </c>
      <c r="J18" s="45">
        <f t="shared" ref="J18" si="1">0.77*(1.46+0.7)</f>
        <v>1.6632000000000002</v>
      </c>
      <c r="K18" s="45">
        <f t="shared" ref="K18:K90" si="2">I18*J18</f>
        <v>1.6632000000000002</v>
      </c>
      <c r="L18" s="78"/>
      <c r="M18" s="45"/>
      <c r="N18" s="25"/>
    </row>
    <row r="19" spans="1:14" x14ac:dyDescent="0.25">
      <c r="A19" s="101"/>
      <c r="B19" s="99"/>
      <c r="C19" s="98"/>
      <c r="D19" s="97"/>
      <c r="E19" s="97"/>
      <c r="F19" s="43"/>
      <c r="G19" s="45"/>
      <c r="H19" s="45"/>
      <c r="I19" s="43">
        <v>3</v>
      </c>
      <c r="J19" s="45">
        <f t="shared" ref="J19" si="3">0.77*2.25</f>
        <v>1.7324999999999999</v>
      </c>
      <c r="K19" s="45">
        <f t="shared" si="2"/>
        <v>5.1974999999999998</v>
      </c>
      <c r="L19" s="78"/>
      <c r="M19" s="45"/>
      <c r="N19" s="25"/>
    </row>
    <row r="20" spans="1:14" x14ac:dyDescent="0.25">
      <c r="A20" s="101"/>
      <c r="B20" s="44" t="s">
        <v>42</v>
      </c>
      <c r="C20" s="43" t="s">
        <v>39</v>
      </c>
      <c r="D20" s="45">
        <f>1.09*3.78</f>
        <v>4.1202000000000005</v>
      </c>
      <c r="E20" s="45">
        <f>1.83*1.92</f>
        <v>3.5135999999999998</v>
      </c>
      <c r="F20" s="43"/>
      <c r="G20" s="45"/>
      <c r="H20" s="45">
        <f t="shared" si="0"/>
        <v>0</v>
      </c>
      <c r="I20" s="43"/>
      <c r="J20" s="45"/>
      <c r="K20" s="45"/>
      <c r="L20" s="78"/>
      <c r="M20" s="45"/>
      <c r="N20" s="25"/>
    </row>
    <row r="21" spans="1:14" x14ac:dyDescent="0.25">
      <c r="A21" s="101"/>
      <c r="B21" s="44" t="s">
        <v>43</v>
      </c>
      <c r="C21" s="43" t="s">
        <v>40</v>
      </c>
      <c r="D21" s="45"/>
      <c r="E21" s="45">
        <f>1.83*0.59</f>
        <v>1.0796999999999999</v>
      </c>
      <c r="F21" s="43">
        <v>3</v>
      </c>
      <c r="G21" s="45">
        <f>0.73*(1.44+0.7)</f>
        <v>1.5621999999999998</v>
      </c>
      <c r="H21" s="45">
        <f t="shared" si="0"/>
        <v>4.6865999999999994</v>
      </c>
      <c r="I21" s="43"/>
      <c r="J21" s="45"/>
      <c r="K21" s="45"/>
      <c r="L21" s="78"/>
      <c r="M21" s="45"/>
      <c r="N21" s="25"/>
    </row>
    <row r="22" spans="1:14" x14ac:dyDescent="0.25">
      <c r="A22" s="101"/>
      <c r="B22" s="44" t="s">
        <v>43</v>
      </c>
      <c r="C22" s="43" t="s">
        <v>44</v>
      </c>
      <c r="D22" s="45"/>
      <c r="E22" s="45">
        <f>1.83*0.5</f>
        <v>0.91500000000000004</v>
      </c>
      <c r="F22" s="43">
        <v>2</v>
      </c>
      <c r="G22" s="45">
        <f>0.73*(1.44+0.7)</f>
        <v>1.5621999999999998</v>
      </c>
      <c r="H22" s="45">
        <f t="shared" si="0"/>
        <v>3.1243999999999996</v>
      </c>
      <c r="I22" s="43"/>
      <c r="J22" s="45"/>
      <c r="K22" s="45"/>
      <c r="L22" s="78"/>
      <c r="M22" s="45"/>
      <c r="N22" s="25"/>
    </row>
    <row r="23" spans="1:14" x14ac:dyDescent="0.25">
      <c r="A23" s="101"/>
      <c r="B23" s="99" t="s">
        <v>43</v>
      </c>
      <c r="C23" s="98" t="s">
        <v>46</v>
      </c>
      <c r="D23" s="97"/>
      <c r="E23" s="97">
        <f>1.83*1.8</f>
        <v>3.294</v>
      </c>
      <c r="F23" s="43"/>
      <c r="G23" s="45"/>
      <c r="H23" s="45"/>
      <c r="I23" s="43">
        <v>3</v>
      </c>
      <c r="J23" s="45">
        <f t="shared" ref="J23" si="4">0.77*(1.46+0.7)</f>
        <v>1.6632000000000002</v>
      </c>
      <c r="K23" s="45">
        <f t="shared" si="2"/>
        <v>4.9896000000000011</v>
      </c>
      <c r="L23" s="78"/>
      <c r="M23" s="45"/>
      <c r="N23" s="25"/>
    </row>
    <row r="24" spans="1:14" x14ac:dyDescent="0.25">
      <c r="A24" s="101"/>
      <c r="B24" s="99"/>
      <c r="C24" s="98"/>
      <c r="D24" s="97"/>
      <c r="E24" s="97"/>
      <c r="F24" s="43"/>
      <c r="G24" s="45"/>
      <c r="H24" s="45"/>
      <c r="I24" s="43">
        <v>2</v>
      </c>
      <c r="J24" s="45">
        <f t="shared" ref="J24" si="5">0.77*2.25</f>
        <v>1.7324999999999999</v>
      </c>
      <c r="K24" s="45">
        <f t="shared" si="2"/>
        <v>3.4649999999999999</v>
      </c>
      <c r="L24" s="78"/>
      <c r="M24" s="45"/>
      <c r="N24" s="25"/>
    </row>
    <row r="25" spans="1:14" x14ac:dyDescent="0.25">
      <c r="A25" s="101"/>
      <c r="B25" s="44" t="s">
        <v>43</v>
      </c>
      <c r="C25" s="43" t="s">
        <v>48</v>
      </c>
      <c r="D25" s="45"/>
      <c r="E25" s="45">
        <f>1.83*0.9</f>
        <v>1.647</v>
      </c>
      <c r="F25" s="43">
        <v>2</v>
      </c>
      <c r="G25" s="45">
        <f t="shared" ref="G25:G26" si="6">0.73*(1.44+0.7)</f>
        <v>1.5621999999999998</v>
      </c>
      <c r="H25" s="45">
        <f t="shared" si="0"/>
        <v>3.1243999999999996</v>
      </c>
      <c r="I25" s="43"/>
      <c r="J25" s="45"/>
      <c r="K25" s="45">
        <f t="shared" si="2"/>
        <v>0</v>
      </c>
      <c r="L25" s="78"/>
      <c r="M25" s="45"/>
      <c r="N25" s="25"/>
    </row>
    <row r="26" spans="1:14" x14ac:dyDescent="0.25">
      <c r="A26" s="101"/>
      <c r="B26" s="44" t="s">
        <v>77</v>
      </c>
      <c r="C26" s="43" t="s">
        <v>80</v>
      </c>
      <c r="D26" s="45"/>
      <c r="E26" s="45">
        <f>1.83*0.9</f>
        <v>1.647</v>
      </c>
      <c r="F26" s="43">
        <v>2</v>
      </c>
      <c r="G26" s="45">
        <f t="shared" si="6"/>
        <v>1.5621999999999998</v>
      </c>
      <c r="H26" s="45">
        <f t="shared" ref="H26" si="7">F26*G26</f>
        <v>3.1243999999999996</v>
      </c>
      <c r="I26" s="43"/>
      <c r="J26" s="45"/>
      <c r="K26" s="45">
        <f t="shared" ref="K26" si="8">I26*J26</f>
        <v>0</v>
      </c>
      <c r="L26" s="78"/>
      <c r="M26" s="45"/>
      <c r="N26" s="25"/>
    </row>
    <row r="27" spans="1:14" x14ac:dyDescent="0.25">
      <c r="A27" s="101"/>
      <c r="B27" s="44" t="s">
        <v>51</v>
      </c>
      <c r="C27" s="43" t="s">
        <v>49</v>
      </c>
      <c r="D27" s="45">
        <f>1.09*4</f>
        <v>4.3600000000000003</v>
      </c>
      <c r="E27" s="45">
        <f>1.83*(4.44+1.17)</f>
        <v>10.266300000000001</v>
      </c>
      <c r="F27" s="43"/>
      <c r="G27" s="45"/>
      <c r="H27" s="45">
        <f t="shared" si="0"/>
        <v>0</v>
      </c>
      <c r="I27" s="43">
        <v>1</v>
      </c>
      <c r="J27" s="45">
        <f>0.77*(1.46+0.7)</f>
        <v>1.6632000000000002</v>
      </c>
      <c r="K27" s="45">
        <f t="shared" si="2"/>
        <v>1.6632000000000002</v>
      </c>
      <c r="L27" s="78"/>
      <c r="M27" s="45"/>
      <c r="N27" s="25"/>
    </row>
    <row r="28" spans="1:14" x14ac:dyDescent="0.25">
      <c r="A28" s="101"/>
      <c r="B28" s="44" t="s">
        <v>52</v>
      </c>
      <c r="C28" s="43" t="s">
        <v>50</v>
      </c>
      <c r="D28" s="45"/>
      <c r="E28" s="45">
        <f>1.83*(3.37+1.28)</f>
        <v>8.509500000000001</v>
      </c>
      <c r="F28" s="43"/>
      <c r="G28" s="45"/>
      <c r="H28" s="45">
        <f t="shared" si="0"/>
        <v>0</v>
      </c>
      <c r="I28" s="43"/>
      <c r="J28" s="45"/>
      <c r="K28" s="45">
        <f t="shared" si="2"/>
        <v>0</v>
      </c>
      <c r="L28" s="78"/>
      <c r="M28" s="45"/>
      <c r="N28" s="25"/>
    </row>
    <row r="29" spans="1:14" x14ac:dyDescent="0.25">
      <c r="A29" s="101"/>
      <c r="B29" s="44" t="s">
        <v>52</v>
      </c>
      <c r="C29" s="43" t="s">
        <v>54</v>
      </c>
      <c r="D29" s="45"/>
      <c r="E29" s="45">
        <f>1.83*0.6</f>
        <v>1.0980000000000001</v>
      </c>
      <c r="F29" s="43"/>
      <c r="G29" s="45"/>
      <c r="H29" s="45">
        <f t="shared" si="0"/>
        <v>0</v>
      </c>
      <c r="I29" s="43"/>
      <c r="J29" s="45"/>
      <c r="K29" s="45">
        <f t="shared" si="2"/>
        <v>0</v>
      </c>
      <c r="L29" s="78"/>
      <c r="M29" s="45"/>
      <c r="N29" s="25"/>
    </row>
    <row r="30" spans="1:14" x14ac:dyDescent="0.25">
      <c r="A30" s="101"/>
      <c r="B30" s="44" t="s">
        <v>67</v>
      </c>
      <c r="C30" s="43" t="s">
        <v>55</v>
      </c>
      <c r="D30" s="46"/>
      <c r="E30" s="46"/>
      <c r="F30" s="47"/>
      <c r="G30" s="46"/>
      <c r="H30" s="46">
        <f t="shared" si="0"/>
        <v>0</v>
      </c>
      <c r="I30" s="47"/>
      <c r="J30" s="46"/>
      <c r="K30" s="46">
        <f t="shared" si="2"/>
        <v>0</v>
      </c>
      <c r="L30" s="79"/>
      <c r="M30" s="46"/>
      <c r="N30" s="49"/>
    </row>
    <row r="31" spans="1:14" x14ac:dyDescent="0.25">
      <c r="A31" s="101"/>
      <c r="B31" s="99" t="s">
        <v>68</v>
      </c>
      <c r="C31" s="98" t="s">
        <v>56</v>
      </c>
      <c r="D31" s="97"/>
      <c r="E31" s="97">
        <f>1.83*1.97</f>
        <v>3.6051000000000002</v>
      </c>
      <c r="F31" s="43"/>
      <c r="G31" s="45"/>
      <c r="H31" s="45">
        <f t="shared" si="0"/>
        <v>0</v>
      </c>
      <c r="I31" s="43">
        <v>3</v>
      </c>
      <c r="J31" s="45">
        <f t="shared" ref="J31:J54" si="9">0.77*(1.46+0.7)</f>
        <v>1.6632000000000002</v>
      </c>
      <c r="K31" s="45">
        <f t="shared" si="2"/>
        <v>4.9896000000000011</v>
      </c>
      <c r="L31" s="78"/>
      <c r="M31" s="97"/>
      <c r="N31" s="25"/>
    </row>
    <row r="32" spans="1:14" x14ac:dyDescent="0.25">
      <c r="A32" s="101"/>
      <c r="B32" s="99"/>
      <c r="C32" s="98"/>
      <c r="D32" s="97"/>
      <c r="E32" s="97"/>
      <c r="F32" s="43"/>
      <c r="G32" s="45"/>
      <c r="H32" s="45">
        <f t="shared" si="0"/>
        <v>0</v>
      </c>
      <c r="I32" s="43">
        <v>3</v>
      </c>
      <c r="J32" s="45">
        <f t="shared" ref="J32:J55" si="10">0.77*2.25</f>
        <v>1.7324999999999999</v>
      </c>
      <c r="K32" s="45">
        <f t="shared" si="2"/>
        <v>5.1974999999999998</v>
      </c>
      <c r="L32" s="78"/>
      <c r="M32" s="97"/>
      <c r="N32" s="25"/>
    </row>
    <row r="33" spans="1:14" x14ac:dyDescent="0.25">
      <c r="A33" s="101"/>
      <c r="B33" s="99" t="s">
        <v>69</v>
      </c>
      <c r="C33" s="98" t="s">
        <v>57</v>
      </c>
      <c r="D33" s="97"/>
      <c r="E33" s="97"/>
      <c r="F33" s="43"/>
      <c r="G33" s="45"/>
      <c r="H33" s="45">
        <f t="shared" si="0"/>
        <v>0</v>
      </c>
      <c r="I33" s="43">
        <v>1</v>
      </c>
      <c r="J33" s="45">
        <f t="shared" si="9"/>
        <v>1.6632000000000002</v>
      </c>
      <c r="K33" s="45">
        <f t="shared" si="2"/>
        <v>1.6632000000000002</v>
      </c>
      <c r="L33" s="114">
        <v>1</v>
      </c>
      <c r="M33" s="97">
        <f>0.68*1.78</f>
        <v>1.2104000000000001</v>
      </c>
      <c r="N33" s="25"/>
    </row>
    <row r="34" spans="1:14" x14ac:dyDescent="0.25">
      <c r="A34" s="101"/>
      <c r="B34" s="99"/>
      <c r="C34" s="98"/>
      <c r="D34" s="97"/>
      <c r="E34" s="97"/>
      <c r="F34" s="43"/>
      <c r="G34" s="45"/>
      <c r="H34" s="45">
        <f t="shared" si="0"/>
        <v>0</v>
      </c>
      <c r="I34" s="43">
        <v>1</v>
      </c>
      <c r="J34" s="45">
        <f t="shared" si="10"/>
        <v>1.7324999999999999</v>
      </c>
      <c r="K34" s="45">
        <f t="shared" si="2"/>
        <v>1.7324999999999999</v>
      </c>
      <c r="L34" s="115"/>
      <c r="M34" s="97"/>
      <c r="N34" s="25"/>
    </row>
    <row r="35" spans="1:14" x14ac:dyDescent="0.25">
      <c r="A35" s="101"/>
      <c r="B35" s="99" t="s">
        <v>69</v>
      </c>
      <c r="C35" s="98" t="s">
        <v>58</v>
      </c>
      <c r="D35" s="97"/>
      <c r="E35" s="97"/>
      <c r="F35" s="43"/>
      <c r="G35" s="45"/>
      <c r="H35" s="45">
        <f t="shared" si="0"/>
        <v>0</v>
      </c>
      <c r="I35" s="43">
        <v>1</v>
      </c>
      <c r="J35" s="45">
        <f t="shared" si="9"/>
        <v>1.6632000000000002</v>
      </c>
      <c r="K35" s="45">
        <f t="shared" si="2"/>
        <v>1.6632000000000002</v>
      </c>
      <c r="L35" s="114">
        <v>1</v>
      </c>
      <c r="M35" s="97">
        <f t="shared" ref="M35" si="11">0.68*1.78</f>
        <v>1.2104000000000001</v>
      </c>
      <c r="N35" s="25"/>
    </row>
    <row r="36" spans="1:14" x14ac:dyDescent="0.25">
      <c r="A36" s="101"/>
      <c r="B36" s="99"/>
      <c r="C36" s="98"/>
      <c r="D36" s="97"/>
      <c r="E36" s="97"/>
      <c r="F36" s="43"/>
      <c r="G36" s="45"/>
      <c r="H36" s="45">
        <f t="shared" si="0"/>
        <v>0</v>
      </c>
      <c r="I36" s="43">
        <v>1</v>
      </c>
      <c r="J36" s="45">
        <f t="shared" si="10"/>
        <v>1.7324999999999999</v>
      </c>
      <c r="K36" s="45">
        <f t="shared" si="2"/>
        <v>1.7324999999999999</v>
      </c>
      <c r="L36" s="115"/>
      <c r="M36" s="97"/>
      <c r="N36" s="25"/>
    </row>
    <row r="37" spans="1:14" x14ac:dyDescent="0.25">
      <c r="A37" s="101"/>
      <c r="B37" s="99" t="s">
        <v>69</v>
      </c>
      <c r="C37" s="98" t="s">
        <v>59</v>
      </c>
      <c r="D37" s="97"/>
      <c r="E37" s="97"/>
      <c r="F37" s="43"/>
      <c r="G37" s="45"/>
      <c r="H37" s="45">
        <f t="shared" si="0"/>
        <v>0</v>
      </c>
      <c r="I37" s="43">
        <v>1</v>
      </c>
      <c r="J37" s="45">
        <f t="shared" si="9"/>
        <v>1.6632000000000002</v>
      </c>
      <c r="K37" s="45">
        <f t="shared" si="2"/>
        <v>1.6632000000000002</v>
      </c>
      <c r="L37" s="114">
        <v>1</v>
      </c>
      <c r="M37" s="97">
        <f t="shared" ref="M37" si="12">0.68*1.78</f>
        <v>1.2104000000000001</v>
      </c>
      <c r="N37" s="25"/>
    </row>
    <row r="38" spans="1:14" x14ac:dyDescent="0.25">
      <c r="A38" s="101"/>
      <c r="B38" s="99"/>
      <c r="C38" s="98"/>
      <c r="D38" s="97"/>
      <c r="E38" s="97"/>
      <c r="F38" s="43"/>
      <c r="G38" s="45"/>
      <c r="H38" s="45">
        <f t="shared" si="0"/>
        <v>0</v>
      </c>
      <c r="I38" s="43">
        <v>1</v>
      </c>
      <c r="J38" s="45">
        <f t="shared" si="10"/>
        <v>1.7324999999999999</v>
      </c>
      <c r="K38" s="45">
        <f t="shared" si="2"/>
        <v>1.7324999999999999</v>
      </c>
      <c r="L38" s="115"/>
      <c r="M38" s="97"/>
      <c r="N38" s="25"/>
    </row>
    <row r="39" spans="1:14" x14ac:dyDescent="0.25">
      <c r="A39" s="101"/>
      <c r="B39" s="99" t="s">
        <v>69</v>
      </c>
      <c r="C39" s="98" t="s">
        <v>60</v>
      </c>
      <c r="D39" s="97"/>
      <c r="E39" s="97"/>
      <c r="F39" s="43"/>
      <c r="G39" s="45"/>
      <c r="H39" s="45">
        <f t="shared" si="0"/>
        <v>0</v>
      </c>
      <c r="I39" s="43">
        <v>1</v>
      </c>
      <c r="J39" s="45">
        <f t="shared" si="9"/>
        <v>1.6632000000000002</v>
      </c>
      <c r="K39" s="45">
        <f t="shared" si="2"/>
        <v>1.6632000000000002</v>
      </c>
      <c r="L39" s="114">
        <v>1</v>
      </c>
      <c r="M39" s="97">
        <f t="shared" ref="M39" si="13">0.68*1.78</f>
        <v>1.2104000000000001</v>
      </c>
      <c r="N39" s="25"/>
    </row>
    <row r="40" spans="1:14" x14ac:dyDescent="0.25">
      <c r="A40" s="101"/>
      <c r="B40" s="99"/>
      <c r="C40" s="98"/>
      <c r="D40" s="97"/>
      <c r="E40" s="97"/>
      <c r="F40" s="43"/>
      <c r="G40" s="45"/>
      <c r="H40" s="45">
        <f t="shared" si="0"/>
        <v>0</v>
      </c>
      <c r="I40" s="43">
        <v>1</v>
      </c>
      <c r="J40" s="45">
        <f t="shared" si="10"/>
        <v>1.7324999999999999</v>
      </c>
      <c r="K40" s="45">
        <f t="shared" si="2"/>
        <v>1.7324999999999999</v>
      </c>
      <c r="L40" s="115"/>
      <c r="M40" s="97"/>
      <c r="N40" s="25"/>
    </row>
    <row r="41" spans="1:14" x14ac:dyDescent="0.25">
      <c r="A41" s="101"/>
      <c r="B41" s="99" t="s">
        <v>69</v>
      </c>
      <c r="C41" s="98" t="s">
        <v>61</v>
      </c>
      <c r="D41" s="97"/>
      <c r="E41" s="97"/>
      <c r="F41" s="43"/>
      <c r="G41" s="45"/>
      <c r="H41" s="45">
        <f t="shared" si="0"/>
        <v>0</v>
      </c>
      <c r="I41" s="43">
        <v>1</v>
      </c>
      <c r="J41" s="45">
        <f t="shared" si="9"/>
        <v>1.6632000000000002</v>
      </c>
      <c r="K41" s="45">
        <f t="shared" si="2"/>
        <v>1.6632000000000002</v>
      </c>
      <c r="L41" s="114">
        <v>1</v>
      </c>
      <c r="M41" s="97">
        <f t="shared" ref="M41" si="14">0.68*1.78</f>
        <v>1.2104000000000001</v>
      </c>
      <c r="N41" s="25"/>
    </row>
    <row r="42" spans="1:14" x14ac:dyDescent="0.25">
      <c r="A42" s="101"/>
      <c r="B42" s="99"/>
      <c r="C42" s="98"/>
      <c r="D42" s="97"/>
      <c r="E42" s="97"/>
      <c r="F42" s="43"/>
      <c r="G42" s="45"/>
      <c r="H42" s="45">
        <f t="shared" si="0"/>
        <v>0</v>
      </c>
      <c r="I42" s="43">
        <v>1</v>
      </c>
      <c r="J42" s="45">
        <f t="shared" si="10"/>
        <v>1.7324999999999999</v>
      </c>
      <c r="K42" s="45">
        <f t="shared" si="2"/>
        <v>1.7324999999999999</v>
      </c>
      <c r="L42" s="115"/>
      <c r="M42" s="97"/>
      <c r="N42" s="25"/>
    </row>
    <row r="43" spans="1:14" x14ac:dyDescent="0.25">
      <c r="A43" s="101"/>
      <c r="B43" s="99" t="s">
        <v>69</v>
      </c>
      <c r="C43" s="98" t="s">
        <v>62</v>
      </c>
      <c r="D43" s="97"/>
      <c r="E43" s="97"/>
      <c r="F43" s="43"/>
      <c r="G43" s="45"/>
      <c r="H43" s="45">
        <f t="shared" si="0"/>
        <v>0</v>
      </c>
      <c r="I43" s="43">
        <v>1</v>
      </c>
      <c r="J43" s="45">
        <f t="shared" si="9"/>
        <v>1.6632000000000002</v>
      </c>
      <c r="K43" s="45">
        <f t="shared" si="2"/>
        <v>1.6632000000000002</v>
      </c>
      <c r="L43" s="114">
        <v>1</v>
      </c>
      <c r="M43" s="97">
        <f t="shared" ref="M43" si="15">0.68*1.78</f>
        <v>1.2104000000000001</v>
      </c>
      <c r="N43" s="25"/>
    </row>
    <row r="44" spans="1:14" x14ac:dyDescent="0.25">
      <c r="A44" s="101"/>
      <c r="B44" s="99"/>
      <c r="C44" s="98"/>
      <c r="D44" s="97"/>
      <c r="E44" s="97"/>
      <c r="F44" s="43"/>
      <c r="G44" s="45"/>
      <c r="H44" s="45">
        <f t="shared" si="0"/>
        <v>0</v>
      </c>
      <c r="I44" s="43">
        <v>1</v>
      </c>
      <c r="J44" s="45">
        <f t="shared" si="10"/>
        <v>1.7324999999999999</v>
      </c>
      <c r="K44" s="45">
        <f t="shared" si="2"/>
        <v>1.7324999999999999</v>
      </c>
      <c r="L44" s="115"/>
      <c r="M44" s="97"/>
      <c r="N44" s="25"/>
    </row>
    <row r="45" spans="1:14" x14ac:dyDescent="0.25">
      <c r="A45" s="101"/>
      <c r="B45" s="99" t="s">
        <v>69</v>
      </c>
      <c r="C45" s="98" t="s">
        <v>63</v>
      </c>
      <c r="D45" s="97"/>
      <c r="E45" s="97"/>
      <c r="F45" s="43"/>
      <c r="G45" s="45"/>
      <c r="H45" s="45">
        <f t="shared" si="0"/>
        <v>0</v>
      </c>
      <c r="I45" s="43">
        <v>1</v>
      </c>
      <c r="J45" s="45">
        <f t="shared" si="9"/>
        <v>1.6632000000000002</v>
      </c>
      <c r="K45" s="45">
        <f t="shared" si="2"/>
        <v>1.6632000000000002</v>
      </c>
      <c r="L45" s="114">
        <v>1</v>
      </c>
      <c r="M45" s="97">
        <f t="shared" ref="M45" si="16">0.68*1.78</f>
        <v>1.2104000000000001</v>
      </c>
      <c r="N45" s="25"/>
    </row>
    <row r="46" spans="1:14" x14ac:dyDescent="0.25">
      <c r="A46" s="101"/>
      <c r="B46" s="99"/>
      <c r="C46" s="98"/>
      <c r="D46" s="97"/>
      <c r="E46" s="97"/>
      <c r="F46" s="43"/>
      <c r="G46" s="45"/>
      <c r="H46" s="45">
        <f t="shared" si="0"/>
        <v>0</v>
      </c>
      <c r="I46" s="43">
        <v>1</v>
      </c>
      <c r="J46" s="45">
        <f t="shared" si="10"/>
        <v>1.7324999999999999</v>
      </c>
      <c r="K46" s="45">
        <f t="shared" si="2"/>
        <v>1.7324999999999999</v>
      </c>
      <c r="L46" s="115"/>
      <c r="M46" s="97"/>
      <c r="N46" s="25"/>
    </row>
    <row r="47" spans="1:14" x14ac:dyDescent="0.25">
      <c r="A47" s="101"/>
      <c r="B47" s="44" t="s">
        <v>69</v>
      </c>
      <c r="C47" s="43" t="s">
        <v>53</v>
      </c>
      <c r="D47" s="45"/>
      <c r="E47" s="45"/>
      <c r="F47" s="43"/>
      <c r="G47" s="45"/>
      <c r="H47" s="45">
        <f t="shared" si="0"/>
        <v>0</v>
      </c>
      <c r="I47" s="43">
        <v>1</v>
      </c>
      <c r="J47" s="45">
        <f t="shared" si="9"/>
        <v>1.6632000000000002</v>
      </c>
      <c r="K47" s="45">
        <f t="shared" si="2"/>
        <v>1.6632000000000002</v>
      </c>
      <c r="L47" s="78">
        <v>1</v>
      </c>
      <c r="M47" s="45">
        <f>0.68*1.78</f>
        <v>1.2104000000000001</v>
      </c>
      <c r="N47" s="25"/>
    </row>
    <row r="48" spans="1:14" x14ac:dyDescent="0.25">
      <c r="A48" s="101"/>
      <c r="B48" s="99" t="s">
        <v>69</v>
      </c>
      <c r="C48" s="98" t="s">
        <v>64</v>
      </c>
      <c r="D48" s="97"/>
      <c r="E48" s="97"/>
      <c r="F48" s="43"/>
      <c r="G48" s="45"/>
      <c r="H48" s="45">
        <f t="shared" si="0"/>
        <v>0</v>
      </c>
      <c r="I48" s="43">
        <v>3</v>
      </c>
      <c r="J48" s="45">
        <f t="shared" si="9"/>
        <v>1.6632000000000002</v>
      </c>
      <c r="K48" s="45">
        <f t="shared" si="2"/>
        <v>4.9896000000000011</v>
      </c>
      <c r="L48" s="114">
        <v>1</v>
      </c>
      <c r="M48" s="97">
        <f>0.68*1.78</f>
        <v>1.2104000000000001</v>
      </c>
      <c r="N48" s="25"/>
    </row>
    <row r="49" spans="1:14" x14ac:dyDescent="0.25">
      <c r="A49" s="101"/>
      <c r="B49" s="99"/>
      <c r="C49" s="98"/>
      <c r="D49" s="97"/>
      <c r="E49" s="97"/>
      <c r="F49" s="43"/>
      <c r="G49" s="45"/>
      <c r="H49" s="45">
        <f t="shared" si="0"/>
        <v>0</v>
      </c>
      <c r="I49" s="43">
        <v>2</v>
      </c>
      <c r="J49" s="45">
        <f t="shared" si="10"/>
        <v>1.7324999999999999</v>
      </c>
      <c r="K49" s="45">
        <f t="shared" si="2"/>
        <v>3.4649999999999999</v>
      </c>
      <c r="L49" s="115"/>
      <c r="M49" s="97"/>
      <c r="N49" s="25"/>
    </row>
    <row r="50" spans="1:14" x14ac:dyDescent="0.25">
      <c r="A50" s="101"/>
      <c r="B50" s="99" t="s">
        <v>68</v>
      </c>
      <c r="C50" s="98" t="s">
        <v>65</v>
      </c>
      <c r="D50" s="97"/>
      <c r="E50" s="97"/>
      <c r="F50" s="43"/>
      <c r="G50" s="45"/>
      <c r="H50" s="45">
        <f t="shared" si="0"/>
        <v>0</v>
      </c>
      <c r="I50" s="43">
        <v>3</v>
      </c>
      <c r="J50" s="45">
        <f t="shared" si="9"/>
        <v>1.6632000000000002</v>
      </c>
      <c r="K50" s="45">
        <f t="shared" si="2"/>
        <v>4.9896000000000011</v>
      </c>
      <c r="L50" s="114">
        <v>1</v>
      </c>
      <c r="M50" s="97">
        <f t="shared" ref="M50" si="17">0.68*1.78</f>
        <v>1.2104000000000001</v>
      </c>
      <c r="N50" s="25"/>
    </row>
    <row r="51" spans="1:14" x14ac:dyDescent="0.25">
      <c r="A51" s="101"/>
      <c r="B51" s="99"/>
      <c r="C51" s="98"/>
      <c r="D51" s="97"/>
      <c r="E51" s="97"/>
      <c r="F51" s="43"/>
      <c r="G51" s="45"/>
      <c r="H51" s="45">
        <f t="shared" si="0"/>
        <v>0</v>
      </c>
      <c r="I51" s="43">
        <v>1</v>
      </c>
      <c r="J51" s="45">
        <f t="shared" si="10"/>
        <v>1.7324999999999999</v>
      </c>
      <c r="K51" s="45">
        <f t="shared" si="2"/>
        <v>1.7324999999999999</v>
      </c>
      <c r="L51" s="115"/>
      <c r="M51" s="97"/>
      <c r="N51" s="25"/>
    </row>
    <row r="52" spans="1:14" x14ac:dyDescent="0.25">
      <c r="A52" s="101"/>
      <c r="B52" s="99" t="s">
        <v>68</v>
      </c>
      <c r="C52" s="98" t="s">
        <v>66</v>
      </c>
      <c r="D52" s="97"/>
      <c r="E52" s="97"/>
      <c r="F52" s="43"/>
      <c r="G52" s="45"/>
      <c r="H52" s="45">
        <f t="shared" si="0"/>
        <v>0</v>
      </c>
      <c r="I52" s="43">
        <v>2</v>
      </c>
      <c r="J52" s="45">
        <f t="shared" si="9"/>
        <v>1.6632000000000002</v>
      </c>
      <c r="K52" s="45">
        <f t="shared" si="2"/>
        <v>3.3264000000000005</v>
      </c>
      <c r="L52" s="114">
        <v>1</v>
      </c>
      <c r="M52" s="97">
        <f t="shared" ref="M52" si="18">0.68*1.78</f>
        <v>1.2104000000000001</v>
      </c>
      <c r="N52" s="25"/>
    </row>
    <row r="53" spans="1:14" x14ac:dyDescent="0.25">
      <c r="A53" s="101"/>
      <c r="B53" s="99"/>
      <c r="C53" s="98"/>
      <c r="D53" s="97"/>
      <c r="E53" s="97"/>
      <c r="F53" s="43"/>
      <c r="G53" s="45"/>
      <c r="H53" s="45">
        <f t="shared" si="0"/>
        <v>0</v>
      </c>
      <c r="I53" s="43">
        <v>1</v>
      </c>
      <c r="J53" s="45">
        <f t="shared" si="10"/>
        <v>1.7324999999999999</v>
      </c>
      <c r="K53" s="45">
        <f t="shared" si="2"/>
        <v>1.7324999999999999</v>
      </c>
      <c r="L53" s="115"/>
      <c r="M53" s="97"/>
      <c r="N53" s="25"/>
    </row>
    <row r="54" spans="1:14" x14ac:dyDescent="0.25">
      <c r="A54" s="101"/>
      <c r="B54" s="99" t="s">
        <v>71</v>
      </c>
      <c r="C54" s="98" t="s">
        <v>72</v>
      </c>
      <c r="D54" s="97"/>
      <c r="E54" s="97">
        <f>1.83*0.55</f>
        <v>1.0065000000000002</v>
      </c>
      <c r="F54" s="43"/>
      <c r="G54" s="45"/>
      <c r="H54" s="45">
        <f t="shared" si="0"/>
        <v>0</v>
      </c>
      <c r="I54" s="43">
        <v>1</v>
      </c>
      <c r="J54" s="45">
        <f t="shared" si="9"/>
        <v>1.6632000000000002</v>
      </c>
      <c r="K54" s="45">
        <f t="shared" si="2"/>
        <v>1.6632000000000002</v>
      </c>
      <c r="L54" s="78"/>
      <c r="M54" s="45"/>
      <c r="N54" s="25"/>
    </row>
    <row r="55" spans="1:14" x14ac:dyDescent="0.25">
      <c r="A55" s="101"/>
      <c r="B55" s="99"/>
      <c r="C55" s="98"/>
      <c r="D55" s="97"/>
      <c r="E55" s="97"/>
      <c r="F55" s="43"/>
      <c r="G55" s="45"/>
      <c r="H55" s="45">
        <f t="shared" si="0"/>
        <v>0</v>
      </c>
      <c r="I55" s="43">
        <v>1</v>
      </c>
      <c r="J55" s="45">
        <f t="shared" si="10"/>
        <v>1.7324999999999999</v>
      </c>
      <c r="K55" s="45">
        <f t="shared" si="2"/>
        <v>1.7324999999999999</v>
      </c>
      <c r="L55" s="78"/>
      <c r="M55" s="45"/>
      <c r="N55" s="25"/>
    </row>
    <row r="56" spans="1:14" x14ac:dyDescent="0.25">
      <c r="A56" s="101"/>
      <c r="B56" s="44" t="s">
        <v>77</v>
      </c>
      <c r="C56" s="43" t="s">
        <v>73</v>
      </c>
      <c r="D56" s="45"/>
      <c r="E56" s="45">
        <f>1.83*0.9</f>
        <v>1.647</v>
      </c>
      <c r="F56" s="43">
        <v>2</v>
      </c>
      <c r="G56" s="45">
        <f t="shared" ref="G56" si="19">0.73*(1.44+0.7)</f>
        <v>1.5621999999999998</v>
      </c>
      <c r="H56" s="45">
        <f t="shared" si="0"/>
        <v>3.1243999999999996</v>
      </c>
      <c r="I56" s="43"/>
      <c r="J56" s="45"/>
      <c r="K56" s="45">
        <f t="shared" si="2"/>
        <v>0</v>
      </c>
      <c r="L56" s="78"/>
      <c r="M56" s="45"/>
      <c r="N56" s="25"/>
    </row>
    <row r="57" spans="1:14" x14ac:dyDescent="0.25">
      <c r="A57" s="101"/>
      <c r="B57" s="44" t="s">
        <v>78</v>
      </c>
      <c r="C57" s="43" t="s">
        <v>74</v>
      </c>
      <c r="D57" s="45"/>
      <c r="E57" s="45">
        <f>1.83*0.9</f>
        <v>1.647</v>
      </c>
      <c r="F57" s="43">
        <v>2</v>
      </c>
      <c r="G57" s="45">
        <f>0.73*(1.44+0.7)</f>
        <v>1.5621999999999998</v>
      </c>
      <c r="H57" s="45">
        <f t="shared" si="0"/>
        <v>3.1243999999999996</v>
      </c>
      <c r="I57" s="43"/>
      <c r="J57" s="45"/>
      <c r="K57" s="45">
        <f t="shared" si="2"/>
        <v>0</v>
      </c>
      <c r="L57" s="78"/>
      <c r="M57" s="45"/>
      <c r="N57" s="25"/>
    </row>
    <row r="58" spans="1:14" x14ac:dyDescent="0.25">
      <c r="A58" s="101"/>
      <c r="B58" s="116" t="s">
        <v>77</v>
      </c>
      <c r="C58" s="118" t="s">
        <v>75</v>
      </c>
      <c r="D58" s="120"/>
      <c r="E58" s="120">
        <f>1.83*1.21</f>
        <v>2.2143000000000002</v>
      </c>
      <c r="F58" s="43"/>
      <c r="G58" s="45"/>
      <c r="H58" s="45">
        <f t="shared" si="0"/>
        <v>0</v>
      </c>
      <c r="I58" s="43">
        <v>2</v>
      </c>
      <c r="J58" s="45">
        <f t="shared" ref="J58" si="20">0.77*(1.46+0.7)</f>
        <v>1.6632000000000002</v>
      </c>
      <c r="K58" s="45">
        <f t="shared" si="2"/>
        <v>3.3264000000000005</v>
      </c>
      <c r="L58" s="78"/>
      <c r="M58" s="45"/>
      <c r="N58" s="25"/>
    </row>
    <row r="59" spans="1:14" x14ac:dyDescent="0.25">
      <c r="A59" s="101"/>
      <c r="B59" s="117"/>
      <c r="C59" s="119"/>
      <c r="D59" s="121"/>
      <c r="E59" s="121"/>
      <c r="F59" s="43"/>
      <c r="G59" s="45"/>
      <c r="H59" s="45">
        <f t="shared" si="0"/>
        <v>0</v>
      </c>
      <c r="I59" s="43">
        <v>2</v>
      </c>
      <c r="J59" s="45">
        <f t="shared" ref="J59" si="21">0.77*2.25</f>
        <v>1.7324999999999999</v>
      </c>
      <c r="K59" s="45">
        <f t="shared" si="2"/>
        <v>3.4649999999999999</v>
      </c>
      <c r="L59" s="78"/>
      <c r="M59" s="45"/>
      <c r="N59" s="25"/>
    </row>
    <row r="60" spans="1:14" x14ac:dyDescent="0.25">
      <c r="A60" s="101"/>
      <c r="B60" s="44" t="s">
        <v>52</v>
      </c>
      <c r="C60" s="43" t="s">
        <v>76</v>
      </c>
      <c r="D60" s="45"/>
      <c r="E60" s="45">
        <f>1.83*(2.22+2.9)</f>
        <v>9.3696000000000002</v>
      </c>
      <c r="F60" s="43"/>
      <c r="G60" s="45"/>
      <c r="H60" s="45">
        <f t="shared" si="0"/>
        <v>0</v>
      </c>
      <c r="I60" s="43"/>
      <c r="J60" s="45"/>
      <c r="K60" s="45">
        <f t="shared" si="2"/>
        <v>0</v>
      </c>
      <c r="L60" s="78"/>
      <c r="M60" s="45"/>
      <c r="N60" s="25"/>
    </row>
    <row r="61" spans="1:14" x14ac:dyDescent="0.25">
      <c r="A61" s="101"/>
      <c r="B61" s="44" t="s">
        <v>81</v>
      </c>
      <c r="C61" s="43" t="s">
        <v>82</v>
      </c>
      <c r="D61" s="45">
        <f>1.09*(4.93+1.98+1.99)</f>
        <v>9.7010000000000005</v>
      </c>
      <c r="E61" s="45"/>
      <c r="F61" s="43">
        <v>7</v>
      </c>
      <c r="G61" s="45">
        <f t="shared" ref="G61:G71" si="22">0.73*(1.44+0.7)</f>
        <v>1.5621999999999998</v>
      </c>
      <c r="H61" s="45">
        <f t="shared" si="0"/>
        <v>10.935399999999998</v>
      </c>
      <c r="I61" s="43"/>
      <c r="J61" s="45"/>
      <c r="K61" s="45">
        <f t="shared" si="2"/>
        <v>0</v>
      </c>
      <c r="L61" s="78"/>
      <c r="M61" s="45"/>
      <c r="N61" s="25"/>
    </row>
    <row r="62" spans="1:14" x14ac:dyDescent="0.25">
      <c r="A62" s="101"/>
      <c r="B62" s="44" t="s">
        <v>81</v>
      </c>
      <c r="C62" s="43" t="s">
        <v>83</v>
      </c>
      <c r="D62" s="45">
        <f>1.09*(3.3+3.4)</f>
        <v>7.3029999999999999</v>
      </c>
      <c r="E62" s="45"/>
      <c r="F62" s="43">
        <v>1</v>
      </c>
      <c r="G62" s="45">
        <f t="shared" si="22"/>
        <v>1.5621999999999998</v>
      </c>
      <c r="H62" s="45">
        <f t="shared" si="0"/>
        <v>1.5621999999999998</v>
      </c>
      <c r="I62" s="43"/>
      <c r="J62" s="45"/>
      <c r="K62" s="45">
        <f t="shared" si="2"/>
        <v>0</v>
      </c>
      <c r="L62" s="78"/>
      <c r="M62" s="45"/>
      <c r="N62" s="25"/>
    </row>
    <row r="63" spans="1:14" x14ac:dyDescent="0.25">
      <c r="A63" s="101"/>
      <c r="B63" s="44" t="s">
        <v>81</v>
      </c>
      <c r="C63" s="43" t="s">
        <v>84</v>
      </c>
      <c r="D63" s="45">
        <f>1.09*3.3</f>
        <v>3.597</v>
      </c>
      <c r="E63" s="45"/>
      <c r="F63" s="43">
        <v>2</v>
      </c>
      <c r="G63" s="45">
        <f t="shared" si="22"/>
        <v>1.5621999999999998</v>
      </c>
      <c r="H63" s="45">
        <f t="shared" si="0"/>
        <v>3.1243999999999996</v>
      </c>
      <c r="I63" s="43"/>
      <c r="J63" s="45"/>
      <c r="K63" s="45">
        <f t="shared" si="2"/>
        <v>0</v>
      </c>
      <c r="L63" s="78"/>
      <c r="M63" s="45"/>
      <c r="N63" s="25"/>
    </row>
    <row r="64" spans="1:14" x14ac:dyDescent="0.25">
      <c r="A64" s="101"/>
      <c r="B64" s="44" t="s">
        <v>81</v>
      </c>
      <c r="C64" s="43" t="s">
        <v>85</v>
      </c>
      <c r="D64" s="46"/>
      <c r="E64" s="46"/>
      <c r="F64" s="47"/>
      <c r="G64" s="46"/>
      <c r="H64" s="46">
        <f t="shared" si="0"/>
        <v>0</v>
      </c>
      <c r="I64" s="47"/>
      <c r="J64" s="46"/>
      <c r="K64" s="46">
        <f t="shared" si="2"/>
        <v>0</v>
      </c>
      <c r="L64" s="79"/>
      <c r="M64" s="46"/>
      <c r="N64" s="49"/>
    </row>
    <row r="65" spans="1:14" x14ac:dyDescent="0.25">
      <c r="A65" s="101"/>
      <c r="B65" s="44" t="s">
        <v>86</v>
      </c>
      <c r="C65" s="43" t="s">
        <v>87</v>
      </c>
      <c r="D65" s="45"/>
      <c r="E65" s="45">
        <f>1.83*0.8</f>
        <v>1.4640000000000002</v>
      </c>
      <c r="F65" s="43">
        <v>1</v>
      </c>
      <c r="G65" s="45">
        <f t="shared" si="22"/>
        <v>1.5621999999999998</v>
      </c>
      <c r="H65" s="45">
        <f t="shared" si="0"/>
        <v>1.5621999999999998</v>
      </c>
      <c r="I65" s="43"/>
      <c r="J65" s="45"/>
      <c r="K65" s="45">
        <f t="shared" si="2"/>
        <v>0</v>
      </c>
      <c r="L65" s="78"/>
      <c r="M65" s="45"/>
      <c r="N65" s="25"/>
    </row>
    <row r="66" spans="1:14" x14ac:dyDescent="0.25">
      <c r="A66" s="101"/>
      <c r="B66" s="44" t="s">
        <v>86</v>
      </c>
      <c r="C66" s="43" t="s">
        <v>88</v>
      </c>
      <c r="D66" s="45"/>
      <c r="E66" s="45">
        <f>1.83*0.8</f>
        <v>1.4640000000000002</v>
      </c>
      <c r="F66" s="43">
        <v>1</v>
      </c>
      <c r="G66" s="45">
        <f t="shared" si="22"/>
        <v>1.5621999999999998</v>
      </c>
      <c r="H66" s="45">
        <f t="shared" si="0"/>
        <v>1.5621999999999998</v>
      </c>
      <c r="I66" s="43"/>
      <c r="J66" s="45"/>
      <c r="K66" s="45">
        <f t="shared" si="2"/>
        <v>0</v>
      </c>
      <c r="L66" s="78"/>
      <c r="M66" s="45"/>
      <c r="N66" s="25"/>
    </row>
    <row r="67" spans="1:14" x14ac:dyDescent="0.25">
      <c r="A67" s="101"/>
      <c r="B67" s="44" t="s">
        <v>86</v>
      </c>
      <c r="C67" s="43" t="s">
        <v>89</v>
      </c>
      <c r="D67" s="45"/>
      <c r="E67" s="45">
        <f>1.83*0.8</f>
        <v>1.4640000000000002</v>
      </c>
      <c r="F67" s="43">
        <v>2</v>
      </c>
      <c r="G67" s="45">
        <f t="shared" si="22"/>
        <v>1.5621999999999998</v>
      </c>
      <c r="H67" s="45">
        <f t="shared" si="0"/>
        <v>3.1243999999999996</v>
      </c>
      <c r="I67" s="43"/>
      <c r="J67" s="45"/>
      <c r="K67" s="45">
        <f t="shared" si="2"/>
        <v>0</v>
      </c>
      <c r="L67" s="78"/>
      <c r="M67" s="45"/>
      <c r="N67" s="25"/>
    </row>
    <row r="68" spans="1:14" x14ac:dyDescent="0.25">
      <c r="A68" s="101"/>
      <c r="B68" s="44" t="s">
        <v>86</v>
      </c>
      <c r="C68" s="43" t="s">
        <v>90</v>
      </c>
      <c r="D68" s="45"/>
      <c r="E68" s="45">
        <f>1.83*0.8</f>
        <v>1.4640000000000002</v>
      </c>
      <c r="F68" s="43">
        <v>1</v>
      </c>
      <c r="G68" s="45">
        <f t="shared" si="22"/>
        <v>1.5621999999999998</v>
      </c>
      <c r="H68" s="45">
        <f t="shared" si="0"/>
        <v>1.5621999999999998</v>
      </c>
      <c r="I68" s="43"/>
      <c r="J68" s="45"/>
      <c r="K68" s="45">
        <f t="shared" si="2"/>
        <v>0</v>
      </c>
      <c r="L68" s="78"/>
      <c r="M68" s="45"/>
      <c r="N68" s="25"/>
    </row>
    <row r="69" spans="1:14" x14ac:dyDescent="0.25">
      <c r="A69" s="101"/>
      <c r="B69" s="44" t="s">
        <v>86</v>
      </c>
      <c r="C69" s="43" t="s">
        <v>91</v>
      </c>
      <c r="D69" s="45"/>
      <c r="E69" s="45">
        <f t="shared" ref="E69:E71" si="23">1.83*0.8</f>
        <v>1.4640000000000002</v>
      </c>
      <c r="F69" s="43">
        <v>1</v>
      </c>
      <c r="G69" s="45">
        <f t="shared" si="22"/>
        <v>1.5621999999999998</v>
      </c>
      <c r="H69" s="45">
        <f t="shared" si="0"/>
        <v>1.5621999999999998</v>
      </c>
      <c r="I69" s="43"/>
      <c r="J69" s="45"/>
      <c r="K69" s="45">
        <f t="shared" si="2"/>
        <v>0</v>
      </c>
      <c r="L69" s="78"/>
      <c r="M69" s="45"/>
      <c r="N69" s="25"/>
    </row>
    <row r="70" spans="1:14" x14ac:dyDescent="0.25">
      <c r="A70" s="101"/>
      <c r="B70" s="44" t="s">
        <v>86</v>
      </c>
      <c r="C70" s="43" t="s">
        <v>92</v>
      </c>
      <c r="D70" s="45"/>
      <c r="E70" s="45">
        <f t="shared" si="23"/>
        <v>1.4640000000000002</v>
      </c>
      <c r="F70" s="43">
        <v>1</v>
      </c>
      <c r="G70" s="45">
        <f t="shared" si="22"/>
        <v>1.5621999999999998</v>
      </c>
      <c r="H70" s="45">
        <f t="shared" si="0"/>
        <v>1.5621999999999998</v>
      </c>
      <c r="I70" s="43"/>
      <c r="J70" s="45"/>
      <c r="K70" s="45">
        <f t="shared" si="2"/>
        <v>0</v>
      </c>
      <c r="L70" s="78"/>
      <c r="M70" s="45"/>
      <c r="N70" s="25"/>
    </row>
    <row r="71" spans="1:14" x14ac:dyDescent="0.25">
      <c r="A71" s="101"/>
      <c r="B71" s="44" t="s">
        <v>86</v>
      </c>
      <c r="C71" s="43" t="s">
        <v>93</v>
      </c>
      <c r="D71" s="45"/>
      <c r="E71" s="45">
        <f t="shared" si="23"/>
        <v>1.4640000000000002</v>
      </c>
      <c r="F71" s="43">
        <v>2</v>
      </c>
      <c r="G71" s="45">
        <f t="shared" si="22"/>
        <v>1.5621999999999998</v>
      </c>
      <c r="H71" s="45">
        <f t="shared" si="0"/>
        <v>3.1243999999999996</v>
      </c>
      <c r="I71" s="43"/>
      <c r="J71" s="45"/>
      <c r="K71" s="45">
        <f t="shared" si="2"/>
        <v>0</v>
      </c>
      <c r="L71" s="78"/>
      <c r="M71" s="45"/>
      <c r="N71" s="25"/>
    </row>
    <row r="72" spans="1:14" x14ac:dyDescent="0.25">
      <c r="A72" s="101"/>
      <c r="B72" s="44" t="s">
        <v>47</v>
      </c>
      <c r="C72" s="43" t="s">
        <v>94</v>
      </c>
      <c r="D72" s="45"/>
      <c r="E72" s="45">
        <f>1.83*(3.17+2.59+2.54+1.47)</f>
        <v>17.879100000000005</v>
      </c>
      <c r="F72" s="43"/>
      <c r="G72" s="45"/>
      <c r="H72" s="45">
        <f t="shared" si="0"/>
        <v>0</v>
      </c>
      <c r="I72" s="43"/>
      <c r="J72" s="45"/>
      <c r="K72" s="45">
        <f t="shared" si="2"/>
        <v>0</v>
      </c>
      <c r="L72" s="78"/>
      <c r="M72" s="45"/>
      <c r="N72" s="25"/>
    </row>
    <row r="73" spans="1:14" x14ac:dyDescent="0.25">
      <c r="A73" s="101"/>
      <c r="B73" s="99" t="s">
        <v>86</v>
      </c>
      <c r="C73" s="98" t="s">
        <v>95</v>
      </c>
      <c r="D73" s="45"/>
      <c r="E73" s="45"/>
      <c r="F73" s="43"/>
      <c r="G73" s="45"/>
      <c r="H73" s="45">
        <f t="shared" si="0"/>
        <v>0</v>
      </c>
      <c r="I73" s="43">
        <v>1</v>
      </c>
      <c r="J73" s="45">
        <f t="shared" ref="J73:J98" si="24">0.77*(1.46+0.7)</f>
        <v>1.6632000000000002</v>
      </c>
      <c r="K73" s="45">
        <f t="shared" si="2"/>
        <v>1.6632000000000002</v>
      </c>
      <c r="L73" s="78"/>
      <c r="M73" s="45"/>
      <c r="N73" s="25"/>
    </row>
    <row r="74" spans="1:14" x14ac:dyDescent="0.25">
      <c r="A74" s="101"/>
      <c r="B74" s="99"/>
      <c r="C74" s="98"/>
      <c r="D74" s="45"/>
      <c r="E74" s="45"/>
      <c r="F74" s="43"/>
      <c r="G74" s="45"/>
      <c r="H74" s="45"/>
      <c r="I74" s="43">
        <v>1</v>
      </c>
      <c r="J74" s="45">
        <f t="shared" ref="J74:J88" si="25">0.77*2.25</f>
        <v>1.7324999999999999</v>
      </c>
      <c r="K74" s="45">
        <f t="shared" si="2"/>
        <v>1.7324999999999999</v>
      </c>
      <c r="L74" s="78"/>
      <c r="M74" s="45"/>
      <c r="N74" s="25"/>
    </row>
    <row r="75" spans="1:14" x14ac:dyDescent="0.25">
      <c r="A75" s="101"/>
      <c r="B75" s="99" t="s">
        <v>86</v>
      </c>
      <c r="C75" s="98" t="s">
        <v>96</v>
      </c>
      <c r="D75" s="45"/>
      <c r="E75" s="97">
        <f>1.83*0.8</f>
        <v>1.4640000000000002</v>
      </c>
      <c r="F75" s="43"/>
      <c r="G75" s="45"/>
      <c r="H75" s="45">
        <f t="shared" si="0"/>
        <v>0</v>
      </c>
      <c r="I75" s="43">
        <v>2</v>
      </c>
      <c r="J75" s="45">
        <f t="shared" si="24"/>
        <v>1.6632000000000002</v>
      </c>
      <c r="K75" s="45">
        <f t="shared" si="2"/>
        <v>3.3264000000000005</v>
      </c>
      <c r="L75" s="78"/>
      <c r="M75" s="45"/>
      <c r="N75" s="25"/>
    </row>
    <row r="76" spans="1:14" x14ac:dyDescent="0.25">
      <c r="A76" s="101"/>
      <c r="B76" s="99"/>
      <c r="C76" s="98"/>
      <c r="D76" s="45"/>
      <c r="E76" s="97"/>
      <c r="F76" s="43"/>
      <c r="G76" s="45"/>
      <c r="H76" s="45"/>
      <c r="I76" s="43">
        <v>1</v>
      </c>
      <c r="J76" s="45">
        <f t="shared" si="25"/>
        <v>1.7324999999999999</v>
      </c>
      <c r="K76" s="45">
        <f t="shared" si="2"/>
        <v>1.7324999999999999</v>
      </c>
      <c r="L76" s="78"/>
      <c r="M76" s="45"/>
      <c r="N76" s="25"/>
    </row>
    <row r="77" spans="1:14" x14ac:dyDescent="0.25">
      <c r="A77" s="101"/>
      <c r="B77" s="99" t="s">
        <v>86</v>
      </c>
      <c r="C77" s="98" t="s">
        <v>97</v>
      </c>
      <c r="D77" s="45"/>
      <c r="E77" s="97">
        <f t="shared" ref="E77:E81" si="26">1.83*0.8</f>
        <v>1.4640000000000002</v>
      </c>
      <c r="F77" s="43"/>
      <c r="G77" s="45"/>
      <c r="H77" s="45">
        <f t="shared" si="0"/>
        <v>0</v>
      </c>
      <c r="I77" s="43">
        <v>1</v>
      </c>
      <c r="J77" s="45">
        <f t="shared" si="24"/>
        <v>1.6632000000000002</v>
      </c>
      <c r="K77" s="45">
        <f t="shared" si="2"/>
        <v>1.6632000000000002</v>
      </c>
      <c r="L77" s="78"/>
      <c r="M77" s="45"/>
      <c r="N77" s="25"/>
    </row>
    <row r="78" spans="1:14" x14ac:dyDescent="0.25">
      <c r="A78" s="101"/>
      <c r="B78" s="99"/>
      <c r="C78" s="98"/>
      <c r="D78" s="45"/>
      <c r="E78" s="97"/>
      <c r="F78" s="43"/>
      <c r="G78" s="45"/>
      <c r="H78" s="45"/>
      <c r="I78" s="43">
        <v>2</v>
      </c>
      <c r="J78" s="45">
        <f t="shared" si="25"/>
        <v>1.7324999999999999</v>
      </c>
      <c r="K78" s="45">
        <f t="shared" si="2"/>
        <v>3.4649999999999999</v>
      </c>
      <c r="L78" s="78"/>
      <c r="M78" s="45"/>
      <c r="N78" s="25"/>
    </row>
    <row r="79" spans="1:14" x14ac:dyDescent="0.25">
      <c r="A79" s="101"/>
      <c r="B79" s="99" t="s">
        <v>86</v>
      </c>
      <c r="C79" s="98" t="s">
        <v>98</v>
      </c>
      <c r="D79" s="45"/>
      <c r="E79" s="97">
        <f t="shared" si="26"/>
        <v>1.4640000000000002</v>
      </c>
      <c r="F79" s="43"/>
      <c r="G79" s="45"/>
      <c r="H79" s="45">
        <f t="shared" si="0"/>
        <v>0</v>
      </c>
      <c r="I79" s="43">
        <v>1</v>
      </c>
      <c r="J79" s="45">
        <f t="shared" si="24"/>
        <v>1.6632000000000002</v>
      </c>
      <c r="K79" s="45">
        <f t="shared" si="2"/>
        <v>1.6632000000000002</v>
      </c>
      <c r="L79" s="78"/>
      <c r="M79" s="45"/>
      <c r="N79" s="25"/>
    </row>
    <row r="80" spans="1:14" x14ac:dyDescent="0.25">
      <c r="A80" s="101"/>
      <c r="B80" s="99"/>
      <c r="C80" s="98"/>
      <c r="D80" s="45"/>
      <c r="E80" s="97"/>
      <c r="F80" s="43"/>
      <c r="G80" s="45"/>
      <c r="H80" s="45"/>
      <c r="I80" s="43">
        <v>1</v>
      </c>
      <c r="J80" s="45">
        <f t="shared" si="25"/>
        <v>1.7324999999999999</v>
      </c>
      <c r="K80" s="45">
        <f t="shared" si="2"/>
        <v>1.7324999999999999</v>
      </c>
      <c r="L80" s="78"/>
      <c r="M80" s="45"/>
      <c r="N80" s="25"/>
    </row>
    <row r="81" spans="1:14" x14ac:dyDescent="0.25">
      <c r="A81" s="101"/>
      <c r="B81" s="99" t="s">
        <v>86</v>
      </c>
      <c r="C81" s="98" t="s">
        <v>99</v>
      </c>
      <c r="D81" s="45"/>
      <c r="E81" s="97">
        <f t="shared" si="26"/>
        <v>1.4640000000000002</v>
      </c>
      <c r="F81" s="43"/>
      <c r="G81" s="45"/>
      <c r="H81" s="45">
        <f t="shared" ref="H81:H116" si="27">F81*G81</f>
        <v>0</v>
      </c>
      <c r="I81" s="43">
        <v>2</v>
      </c>
      <c r="J81" s="45">
        <f t="shared" si="24"/>
        <v>1.6632000000000002</v>
      </c>
      <c r="K81" s="45">
        <f t="shared" si="2"/>
        <v>3.3264000000000005</v>
      </c>
      <c r="L81" s="78"/>
      <c r="M81" s="45"/>
      <c r="N81" s="25"/>
    </row>
    <row r="82" spans="1:14" x14ac:dyDescent="0.25">
      <c r="A82" s="101"/>
      <c r="B82" s="99"/>
      <c r="C82" s="98"/>
      <c r="D82" s="45"/>
      <c r="E82" s="97"/>
      <c r="F82" s="43"/>
      <c r="G82" s="45"/>
      <c r="H82" s="45"/>
      <c r="I82" s="43">
        <v>1</v>
      </c>
      <c r="J82" s="45">
        <f t="shared" si="25"/>
        <v>1.7324999999999999</v>
      </c>
      <c r="K82" s="45">
        <f t="shared" si="2"/>
        <v>1.7324999999999999</v>
      </c>
      <c r="L82" s="78"/>
      <c r="M82" s="45"/>
      <c r="N82" s="25"/>
    </row>
    <row r="83" spans="1:14" x14ac:dyDescent="0.25">
      <c r="A83" s="101"/>
      <c r="B83" s="99" t="s">
        <v>122</v>
      </c>
      <c r="C83" s="98" t="s">
        <v>120</v>
      </c>
      <c r="D83" s="45"/>
      <c r="E83" s="97"/>
      <c r="F83" s="43"/>
      <c r="G83" s="45"/>
      <c r="H83" s="45">
        <f t="shared" ref="H83" si="28">F83*G83</f>
        <v>0</v>
      </c>
      <c r="I83" s="43">
        <v>1</v>
      </c>
      <c r="J83" s="45">
        <f t="shared" si="24"/>
        <v>1.6632000000000002</v>
      </c>
      <c r="K83" s="45">
        <f t="shared" ref="K83:K86" si="29">I83*J83</f>
        <v>1.6632000000000002</v>
      </c>
      <c r="L83" s="78"/>
      <c r="M83" s="45"/>
      <c r="N83" s="25"/>
    </row>
    <row r="84" spans="1:14" x14ac:dyDescent="0.25">
      <c r="A84" s="101"/>
      <c r="B84" s="99"/>
      <c r="C84" s="98"/>
      <c r="D84" s="45"/>
      <c r="E84" s="97"/>
      <c r="F84" s="43"/>
      <c r="G84" s="45"/>
      <c r="H84" s="45"/>
      <c r="I84" s="43">
        <v>1</v>
      </c>
      <c r="J84" s="45">
        <f t="shared" si="25"/>
        <v>1.7324999999999999</v>
      </c>
      <c r="K84" s="45">
        <f t="shared" si="29"/>
        <v>1.7324999999999999</v>
      </c>
      <c r="L84" s="78"/>
      <c r="M84" s="45"/>
      <c r="N84" s="25"/>
    </row>
    <row r="85" spans="1:14" x14ac:dyDescent="0.25">
      <c r="A85" s="101"/>
      <c r="B85" s="99" t="s">
        <v>122</v>
      </c>
      <c r="C85" s="98" t="s">
        <v>121</v>
      </c>
      <c r="D85" s="45"/>
      <c r="E85" s="97"/>
      <c r="F85" s="43"/>
      <c r="G85" s="45"/>
      <c r="H85" s="45">
        <f t="shared" ref="H85" si="30">F85*G85</f>
        <v>0</v>
      </c>
      <c r="I85" s="43">
        <v>2</v>
      </c>
      <c r="J85" s="45">
        <f t="shared" si="24"/>
        <v>1.6632000000000002</v>
      </c>
      <c r="K85" s="45">
        <f t="shared" si="29"/>
        <v>3.3264000000000005</v>
      </c>
      <c r="L85" s="78"/>
      <c r="M85" s="45"/>
      <c r="N85" s="25"/>
    </row>
    <row r="86" spans="1:14" x14ac:dyDescent="0.25">
      <c r="A86" s="101"/>
      <c r="B86" s="99"/>
      <c r="C86" s="98"/>
      <c r="D86" s="45"/>
      <c r="E86" s="97"/>
      <c r="F86" s="43"/>
      <c r="G86" s="45"/>
      <c r="H86" s="45"/>
      <c r="I86" s="43">
        <v>1</v>
      </c>
      <c r="J86" s="45">
        <f t="shared" si="25"/>
        <v>1.7324999999999999</v>
      </c>
      <c r="K86" s="45">
        <f t="shared" si="29"/>
        <v>1.7324999999999999</v>
      </c>
      <c r="L86" s="78"/>
      <c r="M86" s="45"/>
      <c r="N86" s="25"/>
    </row>
    <row r="87" spans="1:14" x14ac:dyDescent="0.25">
      <c r="A87" s="101"/>
      <c r="B87" s="99" t="s">
        <v>47</v>
      </c>
      <c r="C87" s="98" t="s">
        <v>100</v>
      </c>
      <c r="D87" s="45"/>
      <c r="E87" s="97">
        <f>1.83*0.8</f>
        <v>1.4640000000000002</v>
      </c>
      <c r="F87" s="43"/>
      <c r="G87" s="45"/>
      <c r="H87" s="45">
        <f t="shared" si="27"/>
        <v>0</v>
      </c>
      <c r="I87" s="43">
        <v>1</v>
      </c>
      <c r="J87" s="45">
        <f t="shared" si="24"/>
        <v>1.6632000000000002</v>
      </c>
      <c r="K87" s="45">
        <f t="shared" si="2"/>
        <v>1.6632000000000002</v>
      </c>
      <c r="L87" s="78"/>
      <c r="M87" s="45"/>
      <c r="N87" s="25"/>
    </row>
    <row r="88" spans="1:14" x14ac:dyDescent="0.25">
      <c r="A88" s="101"/>
      <c r="B88" s="99"/>
      <c r="C88" s="98"/>
      <c r="D88" s="45"/>
      <c r="E88" s="97"/>
      <c r="F88" s="43"/>
      <c r="G88" s="45"/>
      <c r="H88" s="45"/>
      <c r="I88" s="43">
        <v>2</v>
      </c>
      <c r="J88" s="45">
        <f t="shared" si="25"/>
        <v>1.7324999999999999</v>
      </c>
      <c r="K88" s="45">
        <f t="shared" si="2"/>
        <v>3.4649999999999999</v>
      </c>
      <c r="L88" s="78"/>
      <c r="M88" s="45"/>
      <c r="N88" s="25"/>
    </row>
    <row r="89" spans="1:14" x14ac:dyDescent="0.25">
      <c r="A89" s="101"/>
      <c r="B89" s="44" t="s">
        <v>102</v>
      </c>
      <c r="C89" s="43" t="s">
        <v>101</v>
      </c>
      <c r="D89" s="45"/>
      <c r="E89" s="45">
        <f>1.83*1.3</f>
        <v>2.379</v>
      </c>
      <c r="F89" s="43"/>
      <c r="G89" s="45"/>
      <c r="H89" s="45">
        <f t="shared" si="27"/>
        <v>0</v>
      </c>
      <c r="I89" s="43">
        <v>2</v>
      </c>
      <c r="J89" s="45">
        <f t="shared" si="24"/>
        <v>1.6632000000000002</v>
      </c>
      <c r="K89" s="45">
        <f t="shared" si="2"/>
        <v>3.3264000000000005</v>
      </c>
      <c r="L89" s="78"/>
      <c r="M89" s="45"/>
      <c r="N89" s="25"/>
    </row>
    <row r="90" spans="1:14" x14ac:dyDescent="0.25">
      <c r="A90" s="101"/>
      <c r="B90" s="99" t="s">
        <v>105</v>
      </c>
      <c r="C90" s="98" t="s">
        <v>103</v>
      </c>
      <c r="D90" s="97">
        <f>1.09*2.44</f>
        <v>2.6596000000000002</v>
      </c>
      <c r="E90" s="97"/>
      <c r="F90" s="43"/>
      <c r="G90" s="45"/>
      <c r="H90" s="45">
        <f t="shared" si="27"/>
        <v>0</v>
      </c>
      <c r="I90" s="43">
        <v>2</v>
      </c>
      <c r="J90" s="45">
        <f t="shared" si="24"/>
        <v>1.6632000000000002</v>
      </c>
      <c r="K90" s="45">
        <f t="shared" si="2"/>
        <v>3.3264000000000005</v>
      </c>
      <c r="L90" s="78"/>
      <c r="M90" s="45"/>
      <c r="N90" s="25"/>
    </row>
    <row r="91" spans="1:14" x14ac:dyDescent="0.25">
      <c r="A91" s="101"/>
      <c r="B91" s="99"/>
      <c r="C91" s="98"/>
      <c r="D91" s="97"/>
      <c r="E91" s="97"/>
      <c r="F91" s="43"/>
      <c r="G91" s="45"/>
      <c r="H91" s="45">
        <f t="shared" si="27"/>
        <v>0</v>
      </c>
      <c r="I91" s="43">
        <v>1</v>
      </c>
      <c r="J91" s="45">
        <f t="shared" ref="J91:J99" si="31">0.77*2.25</f>
        <v>1.7324999999999999</v>
      </c>
      <c r="K91" s="45">
        <f t="shared" ref="K91:K149" si="32">I91*J91</f>
        <v>1.7324999999999999</v>
      </c>
      <c r="L91" s="78"/>
      <c r="M91" s="45"/>
      <c r="N91" s="25"/>
    </row>
    <row r="92" spans="1:14" x14ac:dyDescent="0.25">
      <c r="A92" s="101"/>
      <c r="B92" s="99" t="s">
        <v>104</v>
      </c>
      <c r="C92" s="98"/>
      <c r="D92" s="97"/>
      <c r="E92" s="97"/>
      <c r="F92" s="43"/>
      <c r="G92" s="45"/>
      <c r="H92" s="45">
        <f t="shared" si="27"/>
        <v>0</v>
      </c>
      <c r="I92" s="43">
        <v>3</v>
      </c>
      <c r="J92" s="45">
        <f t="shared" si="24"/>
        <v>1.6632000000000002</v>
      </c>
      <c r="K92" s="45">
        <f t="shared" si="32"/>
        <v>4.9896000000000011</v>
      </c>
      <c r="L92" s="78"/>
      <c r="M92" s="45"/>
      <c r="N92" s="25"/>
    </row>
    <row r="93" spans="1:14" x14ac:dyDescent="0.25">
      <c r="A93" s="101"/>
      <c r="B93" s="99"/>
      <c r="C93" s="98"/>
      <c r="D93" s="97"/>
      <c r="E93" s="97"/>
      <c r="F93" s="43"/>
      <c r="G93" s="45"/>
      <c r="H93" s="45">
        <f t="shared" si="27"/>
        <v>0</v>
      </c>
      <c r="I93" s="43">
        <v>5</v>
      </c>
      <c r="J93" s="45">
        <f t="shared" si="31"/>
        <v>1.7324999999999999</v>
      </c>
      <c r="K93" s="45">
        <f t="shared" si="32"/>
        <v>8.6624999999999996</v>
      </c>
      <c r="L93" s="78"/>
      <c r="M93" s="45"/>
      <c r="N93" s="25"/>
    </row>
    <row r="94" spans="1:14" x14ac:dyDescent="0.25">
      <c r="A94" s="101"/>
      <c r="B94" s="99" t="s">
        <v>106</v>
      </c>
      <c r="C94" s="98" t="s">
        <v>110</v>
      </c>
      <c r="D94" s="97">
        <f>1.09*2.98</f>
        <v>3.2482000000000002</v>
      </c>
      <c r="E94" s="97"/>
      <c r="F94" s="43"/>
      <c r="G94" s="45"/>
      <c r="H94" s="45">
        <f t="shared" si="27"/>
        <v>0</v>
      </c>
      <c r="I94" s="43">
        <v>1</v>
      </c>
      <c r="J94" s="45">
        <f t="shared" si="24"/>
        <v>1.6632000000000002</v>
      </c>
      <c r="K94" s="45">
        <f t="shared" si="32"/>
        <v>1.6632000000000002</v>
      </c>
      <c r="L94" s="114">
        <v>1</v>
      </c>
      <c r="M94" s="140">
        <f>0.68*1.78</f>
        <v>1.2104000000000001</v>
      </c>
      <c r="N94" s="25"/>
    </row>
    <row r="95" spans="1:14" x14ac:dyDescent="0.25">
      <c r="A95" s="101"/>
      <c r="B95" s="99"/>
      <c r="C95" s="98"/>
      <c r="D95" s="97"/>
      <c r="E95" s="97"/>
      <c r="F95" s="43"/>
      <c r="G95" s="45"/>
      <c r="H95" s="45">
        <f t="shared" si="27"/>
        <v>0</v>
      </c>
      <c r="I95" s="43">
        <v>1</v>
      </c>
      <c r="J95" s="45">
        <f t="shared" si="31"/>
        <v>1.7324999999999999</v>
      </c>
      <c r="K95" s="45">
        <f t="shared" si="32"/>
        <v>1.7324999999999999</v>
      </c>
      <c r="L95" s="115"/>
      <c r="M95" s="140"/>
      <c r="N95" s="25"/>
    </row>
    <row r="96" spans="1:14" x14ac:dyDescent="0.25">
      <c r="A96" s="101"/>
      <c r="B96" s="99" t="s">
        <v>107</v>
      </c>
      <c r="C96" s="98" t="s">
        <v>111</v>
      </c>
      <c r="D96" s="97">
        <f>1.09*6.57</f>
        <v>7.1613000000000007</v>
      </c>
      <c r="E96" s="97"/>
      <c r="F96" s="43"/>
      <c r="G96" s="45"/>
      <c r="H96" s="45">
        <f t="shared" si="27"/>
        <v>0</v>
      </c>
      <c r="I96" s="43">
        <v>4</v>
      </c>
      <c r="J96" s="45">
        <f t="shared" si="24"/>
        <v>1.6632000000000002</v>
      </c>
      <c r="K96" s="45">
        <f t="shared" si="32"/>
        <v>6.6528000000000009</v>
      </c>
      <c r="L96" s="78"/>
      <c r="M96" s="45"/>
      <c r="N96" s="25"/>
    </row>
    <row r="97" spans="1:14" x14ac:dyDescent="0.25">
      <c r="A97" s="101"/>
      <c r="B97" s="99"/>
      <c r="C97" s="98"/>
      <c r="D97" s="97"/>
      <c r="E97" s="97"/>
      <c r="F97" s="43"/>
      <c r="G97" s="45"/>
      <c r="H97" s="45">
        <f t="shared" si="27"/>
        <v>0</v>
      </c>
      <c r="I97" s="43">
        <v>3</v>
      </c>
      <c r="J97" s="45">
        <f t="shared" si="31"/>
        <v>1.7324999999999999</v>
      </c>
      <c r="K97" s="45">
        <f t="shared" si="32"/>
        <v>5.1974999999999998</v>
      </c>
      <c r="L97" s="78"/>
      <c r="M97" s="45"/>
      <c r="N97" s="25"/>
    </row>
    <row r="98" spans="1:14" x14ac:dyDescent="0.25">
      <c r="A98" s="101"/>
      <c r="B98" s="99" t="s">
        <v>108</v>
      </c>
      <c r="C98" s="98" t="s">
        <v>112</v>
      </c>
      <c r="D98" s="97">
        <f>1.09*0.9</f>
        <v>0.98100000000000009</v>
      </c>
      <c r="E98" s="97"/>
      <c r="F98" s="43"/>
      <c r="G98" s="45"/>
      <c r="H98" s="45">
        <f t="shared" si="27"/>
        <v>0</v>
      </c>
      <c r="I98" s="43">
        <v>3</v>
      </c>
      <c r="J98" s="45">
        <f t="shared" si="24"/>
        <v>1.6632000000000002</v>
      </c>
      <c r="K98" s="45">
        <f t="shared" si="32"/>
        <v>4.9896000000000011</v>
      </c>
      <c r="L98" s="78"/>
      <c r="M98" s="45"/>
      <c r="N98" s="25"/>
    </row>
    <row r="99" spans="1:14" x14ac:dyDescent="0.25">
      <c r="A99" s="101"/>
      <c r="B99" s="99"/>
      <c r="C99" s="98"/>
      <c r="D99" s="97"/>
      <c r="E99" s="97"/>
      <c r="F99" s="43"/>
      <c r="G99" s="45"/>
      <c r="H99" s="45">
        <f t="shared" si="27"/>
        <v>0</v>
      </c>
      <c r="I99" s="43">
        <v>4</v>
      </c>
      <c r="J99" s="45">
        <f t="shared" si="31"/>
        <v>1.7324999999999999</v>
      </c>
      <c r="K99" s="45">
        <f t="shared" si="32"/>
        <v>6.93</v>
      </c>
      <c r="L99" s="78"/>
      <c r="M99" s="45"/>
      <c r="N99" s="25"/>
    </row>
    <row r="100" spans="1:14" x14ac:dyDescent="0.25">
      <c r="A100" s="101"/>
      <c r="B100" s="44" t="s">
        <v>109</v>
      </c>
      <c r="C100" s="43" t="s">
        <v>113</v>
      </c>
      <c r="D100" s="45"/>
      <c r="E100" s="45">
        <f>1.09*(0.5+1.19)</f>
        <v>1.8421000000000001</v>
      </c>
      <c r="F100" s="43"/>
      <c r="G100" s="45"/>
      <c r="H100" s="45">
        <f t="shared" si="27"/>
        <v>0</v>
      </c>
      <c r="I100" s="43"/>
      <c r="J100" s="45"/>
      <c r="K100" s="45">
        <f t="shared" si="32"/>
        <v>0</v>
      </c>
      <c r="L100" s="78"/>
      <c r="M100" s="45"/>
      <c r="N100" s="25"/>
    </row>
    <row r="101" spans="1:14" x14ac:dyDescent="0.25">
      <c r="A101" s="101"/>
      <c r="B101" s="44" t="s">
        <v>109</v>
      </c>
      <c r="C101" s="43" t="s">
        <v>114</v>
      </c>
      <c r="D101" s="45"/>
      <c r="E101" s="45">
        <f t="shared" ref="E101:E103" si="33">1.09*(0.5+1.19)</f>
        <v>1.8421000000000001</v>
      </c>
      <c r="F101" s="43"/>
      <c r="G101" s="45"/>
      <c r="H101" s="45">
        <f t="shared" si="27"/>
        <v>0</v>
      </c>
      <c r="I101" s="43"/>
      <c r="J101" s="45"/>
      <c r="K101" s="45">
        <f t="shared" si="32"/>
        <v>0</v>
      </c>
      <c r="L101" s="78"/>
      <c r="M101" s="45"/>
      <c r="N101" s="25"/>
    </row>
    <row r="102" spans="1:14" x14ac:dyDescent="0.25">
      <c r="A102" s="101"/>
      <c r="B102" s="44" t="s">
        <v>109</v>
      </c>
      <c r="C102" s="43" t="s">
        <v>115</v>
      </c>
      <c r="D102" s="45"/>
      <c r="E102" s="45">
        <f t="shared" si="33"/>
        <v>1.8421000000000001</v>
      </c>
      <c r="F102" s="43"/>
      <c r="G102" s="45"/>
      <c r="H102" s="45">
        <f t="shared" si="27"/>
        <v>0</v>
      </c>
      <c r="I102" s="43"/>
      <c r="J102" s="45"/>
      <c r="K102" s="45">
        <f t="shared" si="32"/>
        <v>0</v>
      </c>
      <c r="L102" s="78"/>
      <c r="M102" s="45"/>
      <c r="N102" s="25"/>
    </row>
    <row r="103" spans="1:14" x14ac:dyDescent="0.25">
      <c r="A103" s="101"/>
      <c r="B103" s="44" t="s">
        <v>109</v>
      </c>
      <c r="C103" s="43" t="s">
        <v>116</v>
      </c>
      <c r="D103" s="45"/>
      <c r="E103" s="45">
        <f t="shared" si="33"/>
        <v>1.8421000000000001</v>
      </c>
      <c r="F103" s="43"/>
      <c r="G103" s="45"/>
      <c r="H103" s="45">
        <f t="shared" si="27"/>
        <v>0</v>
      </c>
      <c r="I103" s="43"/>
      <c r="J103" s="45"/>
      <c r="K103" s="45">
        <f t="shared" si="32"/>
        <v>0</v>
      </c>
      <c r="L103" s="78"/>
      <c r="M103" s="45"/>
      <c r="N103" s="25"/>
    </row>
    <row r="104" spans="1:14" x14ac:dyDescent="0.25">
      <c r="A104" s="101"/>
      <c r="B104" s="44" t="s">
        <v>109</v>
      </c>
      <c r="C104" s="43" t="s">
        <v>117</v>
      </c>
      <c r="D104" s="45"/>
      <c r="E104" s="45">
        <f>1.09*0.5</f>
        <v>0.54500000000000004</v>
      </c>
      <c r="F104" s="43"/>
      <c r="G104" s="45"/>
      <c r="H104" s="45">
        <f t="shared" si="27"/>
        <v>0</v>
      </c>
      <c r="I104" s="43"/>
      <c r="J104" s="45"/>
      <c r="K104" s="45">
        <f t="shared" si="32"/>
        <v>0</v>
      </c>
      <c r="L104" s="78"/>
      <c r="M104" s="45"/>
      <c r="N104" s="25"/>
    </row>
    <row r="105" spans="1:14" x14ac:dyDescent="0.25">
      <c r="A105" s="101"/>
      <c r="B105" s="44" t="s">
        <v>119</v>
      </c>
      <c r="C105" s="43" t="s">
        <v>118</v>
      </c>
      <c r="D105" s="45">
        <f>1.09*(1.66+1.21)</f>
        <v>3.1283000000000003</v>
      </c>
      <c r="E105" s="45"/>
      <c r="F105" s="43"/>
      <c r="G105" s="45"/>
      <c r="H105" s="45">
        <f t="shared" si="27"/>
        <v>0</v>
      </c>
      <c r="I105" s="43"/>
      <c r="J105" s="45"/>
      <c r="K105" s="45">
        <f t="shared" si="32"/>
        <v>0</v>
      </c>
      <c r="L105" s="78"/>
      <c r="M105" s="45"/>
      <c r="N105" s="25"/>
    </row>
    <row r="106" spans="1:14" x14ac:dyDescent="0.25">
      <c r="A106" s="101"/>
      <c r="B106" s="99" t="s">
        <v>123</v>
      </c>
      <c r="C106" s="98" t="s">
        <v>124</v>
      </c>
      <c r="D106" s="97"/>
      <c r="E106" s="97"/>
      <c r="F106" s="43"/>
      <c r="G106" s="45"/>
      <c r="H106" s="45">
        <f t="shared" si="27"/>
        <v>0</v>
      </c>
      <c r="I106" s="43">
        <v>2</v>
      </c>
      <c r="J106" s="45">
        <f t="shared" ref="J106:J108" si="34">0.77*(1.46+0.7)</f>
        <v>1.6632000000000002</v>
      </c>
      <c r="K106" s="45">
        <f t="shared" si="32"/>
        <v>3.3264000000000005</v>
      </c>
      <c r="L106" s="114">
        <v>1</v>
      </c>
      <c r="M106" s="97">
        <f>0.68*1.78</f>
        <v>1.2104000000000001</v>
      </c>
      <c r="N106" s="25"/>
    </row>
    <row r="107" spans="1:14" x14ac:dyDescent="0.25">
      <c r="A107" s="101"/>
      <c r="B107" s="99"/>
      <c r="C107" s="98"/>
      <c r="D107" s="97"/>
      <c r="E107" s="97"/>
      <c r="F107" s="43"/>
      <c r="G107" s="45"/>
      <c r="H107" s="45">
        <f t="shared" si="27"/>
        <v>0</v>
      </c>
      <c r="I107" s="43">
        <v>1</v>
      </c>
      <c r="J107" s="45">
        <f t="shared" ref="J107:J109" si="35">0.77*2.25</f>
        <v>1.7324999999999999</v>
      </c>
      <c r="K107" s="45">
        <f t="shared" si="32"/>
        <v>1.7324999999999999</v>
      </c>
      <c r="L107" s="115"/>
      <c r="M107" s="97"/>
      <c r="N107" s="25"/>
    </row>
    <row r="108" spans="1:14" x14ac:dyDescent="0.25">
      <c r="A108" s="101"/>
      <c r="B108" s="99" t="s">
        <v>125</v>
      </c>
      <c r="C108" s="98" t="s">
        <v>126</v>
      </c>
      <c r="D108" s="97"/>
      <c r="E108" s="97">
        <f>1.83*1.4</f>
        <v>2.5619999999999998</v>
      </c>
      <c r="F108" s="43"/>
      <c r="G108" s="45"/>
      <c r="H108" s="45">
        <f t="shared" si="27"/>
        <v>0</v>
      </c>
      <c r="I108" s="43">
        <v>10</v>
      </c>
      <c r="J108" s="45">
        <f t="shared" si="34"/>
        <v>1.6632000000000002</v>
      </c>
      <c r="K108" s="45">
        <f t="shared" si="32"/>
        <v>16.632000000000001</v>
      </c>
      <c r="L108" s="78"/>
      <c r="M108" s="45"/>
      <c r="N108" s="25"/>
    </row>
    <row r="109" spans="1:14" x14ac:dyDescent="0.25">
      <c r="A109" s="101"/>
      <c r="B109" s="99"/>
      <c r="C109" s="98"/>
      <c r="D109" s="97"/>
      <c r="E109" s="97"/>
      <c r="F109" s="43"/>
      <c r="G109" s="45"/>
      <c r="H109" s="45">
        <f t="shared" si="27"/>
        <v>0</v>
      </c>
      <c r="I109" s="43">
        <v>6</v>
      </c>
      <c r="J109" s="45">
        <f t="shared" si="35"/>
        <v>1.7324999999999999</v>
      </c>
      <c r="K109" s="45">
        <f t="shared" si="32"/>
        <v>10.395</v>
      </c>
      <c r="L109" s="78"/>
      <c r="M109" s="45"/>
      <c r="N109" s="25"/>
    </row>
    <row r="110" spans="1:14" x14ac:dyDescent="0.25">
      <c r="A110" s="101"/>
      <c r="B110" s="44" t="s">
        <v>127</v>
      </c>
      <c r="C110" s="43" t="s">
        <v>128</v>
      </c>
      <c r="D110" s="45">
        <f>1.09*(2.84+3.69)</f>
        <v>7.1177000000000001</v>
      </c>
      <c r="E110" s="45"/>
      <c r="F110" s="43"/>
      <c r="G110" s="45"/>
      <c r="H110" s="45">
        <f t="shared" si="27"/>
        <v>0</v>
      </c>
      <c r="I110" s="43"/>
      <c r="J110" s="45"/>
      <c r="K110" s="45">
        <f t="shared" si="32"/>
        <v>0</v>
      </c>
      <c r="L110" s="78"/>
      <c r="M110" s="45"/>
      <c r="N110" s="25"/>
    </row>
    <row r="111" spans="1:14" x14ac:dyDescent="0.25">
      <c r="A111" s="101"/>
      <c r="B111" s="44" t="s">
        <v>129</v>
      </c>
      <c r="C111" s="43" t="s">
        <v>126</v>
      </c>
      <c r="D111" s="45"/>
      <c r="E111" s="45">
        <f>2*(3.73*2.72)</f>
        <v>20.2912</v>
      </c>
      <c r="F111" s="43"/>
      <c r="G111" s="45"/>
      <c r="H111" s="45">
        <f t="shared" si="27"/>
        <v>0</v>
      </c>
      <c r="I111" s="43"/>
      <c r="J111" s="45"/>
      <c r="K111" s="45">
        <f t="shared" si="32"/>
        <v>0</v>
      </c>
      <c r="L111" s="78"/>
      <c r="M111" s="45"/>
      <c r="N111" s="25"/>
    </row>
    <row r="112" spans="1:14" x14ac:dyDescent="0.25">
      <c r="A112" s="101"/>
      <c r="B112" s="44" t="s">
        <v>130</v>
      </c>
      <c r="C112" s="43" t="s">
        <v>126</v>
      </c>
      <c r="D112" s="45"/>
      <c r="E112" s="45">
        <f>1.83*0.72</f>
        <v>1.3176000000000001</v>
      </c>
      <c r="F112" s="43"/>
      <c r="G112" s="45"/>
      <c r="H112" s="45">
        <f>3.11*(1.44+1.77+1.77+1.77+0.89+0.89)</f>
        <v>26.528299999999998</v>
      </c>
      <c r="I112" s="43"/>
      <c r="J112" s="45"/>
      <c r="K112" s="45">
        <f t="shared" si="32"/>
        <v>0</v>
      </c>
      <c r="L112" s="78"/>
      <c r="M112" s="45"/>
      <c r="N112" s="25"/>
    </row>
    <row r="113" spans="1:14" x14ac:dyDescent="0.25">
      <c r="A113" s="101"/>
      <c r="B113" s="44" t="s">
        <v>131</v>
      </c>
      <c r="C113" s="43" t="s">
        <v>79</v>
      </c>
      <c r="D113" s="45">
        <f>0.65*(3.17+4.63)</f>
        <v>5.07</v>
      </c>
      <c r="E113" s="45">
        <f>1.83*2.92</f>
        <v>5.3436000000000003</v>
      </c>
      <c r="F113" s="43"/>
      <c r="G113" s="45"/>
      <c r="H113" s="45">
        <f t="shared" si="27"/>
        <v>0</v>
      </c>
      <c r="I113" s="43"/>
      <c r="J113" s="45"/>
      <c r="K113" s="45">
        <f t="shared" si="32"/>
        <v>0</v>
      </c>
      <c r="L113" s="78"/>
      <c r="M113" s="45"/>
      <c r="N113" s="25"/>
    </row>
    <row r="114" spans="1:14" x14ac:dyDescent="0.25">
      <c r="A114" s="101"/>
      <c r="B114" s="44" t="s">
        <v>135</v>
      </c>
      <c r="C114" s="43" t="s">
        <v>136</v>
      </c>
      <c r="D114" s="45">
        <f>0.64*1.46</f>
        <v>0.93440000000000001</v>
      </c>
      <c r="E114" s="45"/>
      <c r="F114" s="43"/>
      <c r="G114" s="45"/>
      <c r="H114" s="45">
        <f t="shared" si="27"/>
        <v>0</v>
      </c>
      <c r="I114" s="43"/>
      <c r="J114" s="45"/>
      <c r="K114" s="45">
        <f t="shared" si="32"/>
        <v>0</v>
      </c>
      <c r="L114" s="78"/>
      <c r="M114" s="45"/>
      <c r="N114" s="25"/>
    </row>
    <row r="115" spans="1:14" x14ac:dyDescent="0.25">
      <c r="A115" s="101"/>
      <c r="B115" s="99" t="s">
        <v>132</v>
      </c>
      <c r="C115" s="98" t="s">
        <v>133</v>
      </c>
      <c r="D115" s="97"/>
      <c r="E115" s="97">
        <f>1.83*0.48</f>
        <v>0.87839999999999996</v>
      </c>
      <c r="F115" s="43"/>
      <c r="G115" s="45"/>
      <c r="H115" s="45">
        <f t="shared" si="27"/>
        <v>0</v>
      </c>
      <c r="I115" s="43">
        <v>2</v>
      </c>
      <c r="J115" s="45">
        <f t="shared" ref="J115" si="36">0.77*(1.46+0.7)</f>
        <v>1.6632000000000002</v>
      </c>
      <c r="K115" s="45">
        <f t="shared" si="32"/>
        <v>3.3264000000000005</v>
      </c>
      <c r="L115" s="78"/>
      <c r="M115" s="45"/>
      <c r="N115" s="25"/>
    </row>
    <row r="116" spans="1:14" x14ac:dyDescent="0.25">
      <c r="A116" s="101"/>
      <c r="B116" s="99"/>
      <c r="C116" s="98"/>
      <c r="D116" s="97"/>
      <c r="E116" s="97"/>
      <c r="F116" s="43"/>
      <c r="G116" s="45"/>
      <c r="H116" s="45">
        <f t="shared" si="27"/>
        <v>0</v>
      </c>
      <c r="I116" s="43">
        <v>2</v>
      </c>
      <c r="J116" s="45">
        <f t="shared" ref="J116" si="37">0.77*2.25</f>
        <v>1.7324999999999999</v>
      </c>
      <c r="K116" s="45">
        <f t="shared" si="32"/>
        <v>3.4649999999999999</v>
      </c>
      <c r="L116" s="78"/>
      <c r="M116" s="45"/>
      <c r="N116" s="25"/>
    </row>
    <row r="117" spans="1:14" x14ac:dyDescent="0.25">
      <c r="A117" s="101"/>
      <c r="B117" s="44" t="s">
        <v>134</v>
      </c>
      <c r="C117" s="43" t="s">
        <v>45</v>
      </c>
      <c r="D117" s="45"/>
      <c r="E117" s="45"/>
      <c r="F117" s="43"/>
      <c r="G117" s="45"/>
      <c r="H117" s="45">
        <f>3.11*2.39</f>
        <v>7.4329000000000001</v>
      </c>
      <c r="I117" s="43"/>
      <c r="J117" s="45"/>
      <c r="K117" s="45">
        <f t="shared" si="32"/>
        <v>0</v>
      </c>
      <c r="L117" s="78"/>
      <c r="M117" s="45"/>
      <c r="N117" s="25"/>
    </row>
    <row r="118" spans="1:14" x14ac:dyDescent="0.25">
      <c r="A118" s="101"/>
      <c r="B118" s="44" t="s">
        <v>137</v>
      </c>
      <c r="C118" s="43" t="s">
        <v>138</v>
      </c>
      <c r="D118" s="45"/>
      <c r="E118" s="139">
        <f>2.08*1.69</f>
        <v>3.5152000000000001</v>
      </c>
      <c r="F118" s="43"/>
      <c r="G118" s="45"/>
      <c r="H118" s="45"/>
      <c r="I118" s="43"/>
      <c r="J118" s="45"/>
      <c r="K118" s="45">
        <f t="shared" si="32"/>
        <v>0</v>
      </c>
      <c r="L118" s="78"/>
      <c r="M118" s="45"/>
      <c r="N118" s="25"/>
    </row>
    <row r="119" spans="1:14" x14ac:dyDescent="0.25">
      <c r="A119" s="101"/>
      <c r="B119" s="44" t="s">
        <v>139</v>
      </c>
      <c r="C119" s="43"/>
      <c r="D119" s="45"/>
      <c r="E119" s="45"/>
      <c r="F119" s="43"/>
      <c r="G119" s="45"/>
      <c r="H119" s="45">
        <f>3.11*((4*0.82)+1.69+1.72)</f>
        <v>20.805899999999998</v>
      </c>
      <c r="I119" s="43"/>
      <c r="J119" s="45"/>
      <c r="K119" s="45">
        <f t="shared" si="32"/>
        <v>0</v>
      </c>
      <c r="L119" s="78"/>
      <c r="M119" s="45"/>
      <c r="N119" s="25"/>
    </row>
    <row r="120" spans="1:14" x14ac:dyDescent="0.25">
      <c r="A120" s="101"/>
      <c r="B120" s="44" t="s">
        <v>140</v>
      </c>
      <c r="C120" s="43" t="s">
        <v>141</v>
      </c>
      <c r="D120" s="45">
        <f>1.09*(3.72*2)</f>
        <v>8.1096000000000004</v>
      </c>
      <c r="E120" s="45"/>
      <c r="F120" s="43"/>
      <c r="G120" s="45"/>
      <c r="H120" s="45">
        <f>3.11*(1.29*2)</f>
        <v>8.0237999999999996</v>
      </c>
      <c r="I120" s="43"/>
      <c r="J120" s="45"/>
      <c r="K120" s="45">
        <f t="shared" si="32"/>
        <v>0</v>
      </c>
      <c r="L120" s="78"/>
      <c r="M120" s="45"/>
      <c r="N120" s="25"/>
    </row>
    <row r="121" spans="1:14" x14ac:dyDescent="0.25">
      <c r="A121" s="101"/>
      <c r="B121" s="44" t="s">
        <v>142</v>
      </c>
      <c r="C121" s="43"/>
      <c r="D121" s="45"/>
      <c r="E121" s="45"/>
      <c r="F121" s="43"/>
      <c r="G121" s="45"/>
      <c r="H121" s="45">
        <f>3.11*((0.8*4)+1.03+1.05)</f>
        <v>16.4208</v>
      </c>
      <c r="I121" s="43"/>
      <c r="J121" s="45"/>
      <c r="K121" s="45">
        <f t="shared" si="32"/>
        <v>0</v>
      </c>
      <c r="L121" s="78"/>
      <c r="M121" s="45"/>
      <c r="N121" s="25"/>
    </row>
    <row r="122" spans="1:14" x14ac:dyDescent="0.25">
      <c r="A122" s="101"/>
      <c r="B122" s="44" t="s">
        <v>143</v>
      </c>
      <c r="C122" s="43" t="s">
        <v>148</v>
      </c>
      <c r="D122" s="45"/>
      <c r="E122" s="45">
        <f>2.1*2.1</f>
        <v>4.41</v>
      </c>
      <c r="F122" s="43"/>
      <c r="G122" s="45"/>
      <c r="H122" s="45"/>
      <c r="I122" s="43"/>
      <c r="J122" s="45"/>
      <c r="K122" s="45">
        <f t="shared" si="32"/>
        <v>0</v>
      </c>
      <c r="L122" s="78"/>
      <c r="M122" s="45"/>
      <c r="N122" s="25"/>
    </row>
    <row r="123" spans="1:14" x14ac:dyDescent="0.25">
      <c r="A123" s="101"/>
      <c r="B123" s="44" t="s">
        <v>146</v>
      </c>
      <c r="C123" s="43" t="s">
        <v>126</v>
      </c>
      <c r="D123" s="45"/>
      <c r="E123" s="45"/>
      <c r="F123" s="43">
        <v>1</v>
      </c>
      <c r="G123" s="45">
        <f>0.71*1.42</f>
        <v>1.0082</v>
      </c>
      <c r="H123" s="45">
        <f>F123*G123</f>
        <v>1.0082</v>
      </c>
      <c r="I123" s="43"/>
      <c r="J123" s="45"/>
      <c r="K123" s="45">
        <f t="shared" si="32"/>
        <v>0</v>
      </c>
      <c r="L123" s="78"/>
      <c r="M123" s="45"/>
      <c r="N123" s="25"/>
    </row>
    <row r="124" spans="1:14" x14ac:dyDescent="0.25">
      <c r="A124" s="101"/>
      <c r="B124" s="44" t="s">
        <v>144</v>
      </c>
      <c r="C124" s="43" t="s">
        <v>149</v>
      </c>
      <c r="D124" s="45"/>
      <c r="E124" s="45">
        <f>2.1*1.01</f>
        <v>2.121</v>
      </c>
      <c r="F124" s="43">
        <v>2</v>
      </c>
      <c r="G124" s="45">
        <f t="shared" ref="G124:G136" si="38">0.71*1.42</f>
        <v>1.0082</v>
      </c>
      <c r="H124" s="45">
        <f t="shared" ref="H124:H149" si="39">F124*G124</f>
        <v>2.0164</v>
      </c>
      <c r="I124" s="43"/>
      <c r="J124" s="45"/>
      <c r="K124" s="45">
        <f t="shared" si="32"/>
        <v>0</v>
      </c>
      <c r="L124" s="78"/>
      <c r="M124" s="45"/>
      <c r="N124" s="25"/>
    </row>
    <row r="125" spans="1:14" x14ac:dyDescent="0.25">
      <c r="A125" s="101"/>
      <c r="B125" s="44" t="s">
        <v>145</v>
      </c>
      <c r="C125" s="43" t="s">
        <v>147</v>
      </c>
      <c r="D125" s="45"/>
      <c r="E125" s="45">
        <f>2.1*(1.1+2.4)</f>
        <v>7.3500000000000005</v>
      </c>
      <c r="F125" s="43"/>
      <c r="G125" s="45">
        <f t="shared" si="38"/>
        <v>1.0082</v>
      </c>
      <c r="H125" s="45">
        <f t="shared" si="39"/>
        <v>0</v>
      </c>
      <c r="I125" s="43"/>
      <c r="J125" s="45"/>
      <c r="K125" s="45">
        <f t="shared" si="32"/>
        <v>0</v>
      </c>
      <c r="L125" s="78"/>
      <c r="M125" s="45"/>
      <c r="N125" s="25"/>
    </row>
    <row r="126" spans="1:14" x14ac:dyDescent="0.25">
      <c r="A126" s="101"/>
      <c r="B126" s="44" t="s">
        <v>150</v>
      </c>
      <c r="C126" s="43" t="s">
        <v>151</v>
      </c>
      <c r="D126" s="45"/>
      <c r="E126" s="45">
        <f>1.83*(1.58+1.91)</f>
        <v>6.3867000000000003</v>
      </c>
      <c r="F126" s="43">
        <v>4</v>
      </c>
      <c r="G126" s="45">
        <f t="shared" si="38"/>
        <v>1.0082</v>
      </c>
      <c r="H126" s="45">
        <f t="shared" si="39"/>
        <v>4.0327999999999999</v>
      </c>
      <c r="I126" s="43"/>
      <c r="J126" s="45"/>
      <c r="K126" s="45">
        <f t="shared" si="32"/>
        <v>0</v>
      </c>
      <c r="L126" s="78"/>
      <c r="M126" s="45"/>
      <c r="N126" s="25"/>
    </row>
    <row r="127" spans="1:14" x14ac:dyDescent="0.25">
      <c r="A127" s="101"/>
      <c r="B127" s="44" t="s">
        <v>160</v>
      </c>
      <c r="C127" s="43" t="s">
        <v>152</v>
      </c>
      <c r="D127" s="45"/>
      <c r="E127" s="45">
        <f>1.83*1</f>
        <v>1.83</v>
      </c>
      <c r="F127" s="43">
        <v>1</v>
      </c>
      <c r="G127" s="45">
        <f t="shared" si="38"/>
        <v>1.0082</v>
      </c>
      <c r="H127" s="45">
        <f t="shared" si="39"/>
        <v>1.0082</v>
      </c>
      <c r="I127" s="43"/>
      <c r="J127" s="45"/>
      <c r="K127" s="45">
        <f t="shared" si="32"/>
        <v>0</v>
      </c>
      <c r="L127" s="78"/>
      <c r="M127" s="45"/>
      <c r="N127" s="25"/>
    </row>
    <row r="128" spans="1:14" x14ac:dyDescent="0.25">
      <c r="A128" s="101"/>
      <c r="B128" s="44" t="s">
        <v>161</v>
      </c>
      <c r="C128" s="43" t="s">
        <v>153</v>
      </c>
      <c r="D128" s="45"/>
      <c r="E128" s="45">
        <f>1.83*1</f>
        <v>1.83</v>
      </c>
      <c r="F128" s="43">
        <v>2</v>
      </c>
      <c r="G128" s="45">
        <f t="shared" si="38"/>
        <v>1.0082</v>
      </c>
      <c r="H128" s="45">
        <f t="shared" si="39"/>
        <v>2.0164</v>
      </c>
      <c r="I128" s="43"/>
      <c r="J128" s="45"/>
      <c r="K128" s="45">
        <f t="shared" si="32"/>
        <v>0</v>
      </c>
      <c r="L128" s="78"/>
      <c r="M128" s="45"/>
      <c r="N128" s="25"/>
    </row>
    <row r="129" spans="1:14" x14ac:dyDescent="0.25">
      <c r="A129" s="101"/>
      <c r="B129" s="44" t="s">
        <v>162</v>
      </c>
      <c r="C129" s="43" t="s">
        <v>154</v>
      </c>
      <c r="D129" s="45"/>
      <c r="E129" s="45"/>
      <c r="F129" s="43">
        <v>1</v>
      </c>
      <c r="G129" s="45">
        <f t="shared" si="38"/>
        <v>1.0082</v>
      </c>
      <c r="H129" s="45">
        <f t="shared" si="39"/>
        <v>1.0082</v>
      </c>
      <c r="I129" s="43"/>
      <c r="J129" s="45"/>
      <c r="K129" s="45">
        <f t="shared" si="32"/>
        <v>0</v>
      </c>
      <c r="L129" s="78">
        <v>1</v>
      </c>
      <c r="M129" s="139">
        <f>0.68*1.78</f>
        <v>1.2104000000000001</v>
      </c>
      <c r="N129" s="25"/>
    </row>
    <row r="130" spans="1:14" x14ac:dyDescent="0.25">
      <c r="A130" s="101"/>
      <c r="B130" s="44" t="s">
        <v>162</v>
      </c>
      <c r="C130" s="43" t="s">
        <v>155</v>
      </c>
      <c r="D130" s="45"/>
      <c r="E130" s="45"/>
      <c r="F130" s="43">
        <v>1</v>
      </c>
      <c r="G130" s="45">
        <f t="shared" si="38"/>
        <v>1.0082</v>
      </c>
      <c r="H130" s="45">
        <f t="shared" si="39"/>
        <v>1.0082</v>
      </c>
      <c r="I130" s="43"/>
      <c r="J130" s="45"/>
      <c r="K130" s="45">
        <f t="shared" si="32"/>
        <v>0</v>
      </c>
      <c r="L130" s="78">
        <v>1</v>
      </c>
      <c r="M130" s="139">
        <f t="shared" ref="M130:M135" si="40">0.68*1.78</f>
        <v>1.2104000000000001</v>
      </c>
      <c r="N130" s="25"/>
    </row>
    <row r="131" spans="1:14" x14ac:dyDescent="0.25">
      <c r="A131" s="101"/>
      <c r="B131" s="44" t="s">
        <v>162</v>
      </c>
      <c r="C131" s="43" t="s">
        <v>156</v>
      </c>
      <c r="D131" s="45"/>
      <c r="E131" s="45"/>
      <c r="F131" s="43">
        <v>1</v>
      </c>
      <c r="G131" s="45">
        <f t="shared" si="38"/>
        <v>1.0082</v>
      </c>
      <c r="H131" s="45">
        <f t="shared" si="39"/>
        <v>1.0082</v>
      </c>
      <c r="I131" s="43"/>
      <c r="J131" s="45"/>
      <c r="K131" s="45">
        <f t="shared" si="32"/>
        <v>0</v>
      </c>
      <c r="L131" s="78">
        <v>1</v>
      </c>
      <c r="M131" s="139">
        <f t="shared" si="40"/>
        <v>1.2104000000000001</v>
      </c>
      <c r="N131" s="25"/>
    </row>
    <row r="132" spans="1:14" x14ac:dyDescent="0.25">
      <c r="A132" s="101"/>
      <c r="B132" s="44" t="s">
        <v>162</v>
      </c>
      <c r="C132" s="43" t="s">
        <v>157</v>
      </c>
      <c r="D132" s="45"/>
      <c r="E132" s="45"/>
      <c r="F132" s="43">
        <v>1</v>
      </c>
      <c r="G132" s="45">
        <f t="shared" si="38"/>
        <v>1.0082</v>
      </c>
      <c r="H132" s="45">
        <f t="shared" si="39"/>
        <v>1.0082</v>
      </c>
      <c r="I132" s="43"/>
      <c r="J132" s="45"/>
      <c r="K132" s="45">
        <f t="shared" si="32"/>
        <v>0</v>
      </c>
      <c r="L132" s="78">
        <v>1</v>
      </c>
      <c r="M132" s="139">
        <f t="shared" si="40"/>
        <v>1.2104000000000001</v>
      </c>
      <c r="N132" s="25"/>
    </row>
    <row r="133" spans="1:14" x14ac:dyDescent="0.25">
      <c r="A133" s="101"/>
      <c r="B133" s="44" t="s">
        <v>162</v>
      </c>
      <c r="C133" s="43" t="s">
        <v>158</v>
      </c>
      <c r="D133" s="45"/>
      <c r="E133" s="45"/>
      <c r="F133" s="43">
        <v>1</v>
      </c>
      <c r="G133" s="45">
        <f t="shared" si="38"/>
        <v>1.0082</v>
      </c>
      <c r="H133" s="45">
        <f t="shared" si="39"/>
        <v>1.0082</v>
      </c>
      <c r="I133" s="43"/>
      <c r="J133" s="45"/>
      <c r="K133" s="45">
        <f t="shared" si="32"/>
        <v>0</v>
      </c>
      <c r="L133" s="78">
        <v>1</v>
      </c>
      <c r="M133" s="139">
        <f t="shared" si="40"/>
        <v>1.2104000000000001</v>
      </c>
      <c r="N133" s="25"/>
    </row>
    <row r="134" spans="1:14" x14ac:dyDescent="0.25">
      <c r="A134" s="101"/>
      <c r="B134" s="44" t="s">
        <v>175</v>
      </c>
      <c r="C134" s="43" t="s">
        <v>177</v>
      </c>
      <c r="D134" s="45"/>
      <c r="E134" s="45"/>
      <c r="F134" s="43"/>
      <c r="G134" s="45"/>
      <c r="H134" s="45"/>
      <c r="I134" s="43"/>
      <c r="J134" s="45"/>
      <c r="K134" s="45"/>
      <c r="L134" s="78">
        <v>1</v>
      </c>
      <c r="M134" s="139">
        <f t="shared" si="40"/>
        <v>1.2104000000000001</v>
      </c>
      <c r="N134" s="25"/>
    </row>
    <row r="135" spans="1:14" x14ac:dyDescent="0.25">
      <c r="A135" s="101"/>
      <c r="B135" s="44" t="s">
        <v>176</v>
      </c>
      <c r="C135" s="43" t="s">
        <v>178</v>
      </c>
      <c r="D135" s="45"/>
      <c r="E135" s="45"/>
      <c r="F135" s="43"/>
      <c r="G135" s="45"/>
      <c r="H135" s="45"/>
      <c r="I135" s="43"/>
      <c r="J135" s="45"/>
      <c r="K135" s="45"/>
      <c r="L135" s="78">
        <v>1</v>
      </c>
      <c r="M135" s="139">
        <f t="shared" si="40"/>
        <v>1.2104000000000001</v>
      </c>
      <c r="N135" s="25"/>
    </row>
    <row r="136" spans="1:14" x14ac:dyDescent="0.25">
      <c r="A136" s="101"/>
      <c r="B136" s="44" t="s">
        <v>163</v>
      </c>
      <c r="C136" s="43" t="s">
        <v>159</v>
      </c>
      <c r="D136" s="45"/>
      <c r="E136" s="45">
        <f>1.83*1.31</f>
        <v>2.3973</v>
      </c>
      <c r="F136" s="43">
        <v>2</v>
      </c>
      <c r="G136" s="45">
        <f t="shared" si="38"/>
        <v>1.0082</v>
      </c>
      <c r="H136" s="45">
        <f t="shared" si="39"/>
        <v>2.0164</v>
      </c>
      <c r="I136" s="43"/>
      <c r="J136" s="45"/>
      <c r="K136" s="45">
        <f t="shared" si="32"/>
        <v>0</v>
      </c>
      <c r="L136" s="78"/>
      <c r="M136" s="45"/>
      <c r="N136" s="25"/>
    </row>
    <row r="137" spans="1:14" x14ac:dyDescent="0.25">
      <c r="A137" s="101"/>
      <c r="B137" s="44" t="s">
        <v>164</v>
      </c>
      <c r="C137" s="43" t="s">
        <v>165</v>
      </c>
      <c r="D137" s="45"/>
      <c r="E137" s="139">
        <f>2.1*1.2</f>
        <v>2.52</v>
      </c>
      <c r="F137" s="43"/>
      <c r="G137" s="45"/>
      <c r="H137" s="45">
        <f t="shared" si="39"/>
        <v>0</v>
      </c>
      <c r="I137" s="43"/>
      <c r="J137" s="45"/>
      <c r="K137" s="45">
        <f t="shared" si="32"/>
        <v>0</v>
      </c>
      <c r="L137" s="78"/>
      <c r="M137" s="45"/>
      <c r="N137" s="25"/>
    </row>
    <row r="138" spans="1:14" x14ac:dyDescent="0.25">
      <c r="A138" s="101"/>
      <c r="B138" s="44" t="s">
        <v>164</v>
      </c>
      <c r="C138" s="43" t="s">
        <v>166</v>
      </c>
      <c r="D138" s="45"/>
      <c r="E138" s="45">
        <f>1.83*0.67</f>
        <v>1.2261000000000002</v>
      </c>
      <c r="F138" s="43"/>
      <c r="G138" s="45"/>
      <c r="H138" s="45">
        <f t="shared" si="39"/>
        <v>0</v>
      </c>
      <c r="I138" s="43">
        <v>1</v>
      </c>
      <c r="J138" s="45">
        <f t="shared" ref="J138:J149" si="41">0.77*(1.46+0.7)</f>
        <v>1.6632000000000002</v>
      </c>
      <c r="K138" s="45">
        <f t="shared" si="32"/>
        <v>1.6632000000000002</v>
      </c>
      <c r="L138" s="78"/>
      <c r="M138" s="45"/>
      <c r="N138" s="25"/>
    </row>
    <row r="139" spans="1:14" x14ac:dyDescent="0.25">
      <c r="A139" s="101"/>
      <c r="B139" s="99" t="s">
        <v>173</v>
      </c>
      <c r="C139" s="98" t="s">
        <v>167</v>
      </c>
      <c r="D139" s="97"/>
      <c r="E139" s="97">
        <f>1.83*0.69</f>
        <v>1.2626999999999999</v>
      </c>
      <c r="F139" s="43"/>
      <c r="G139" s="45"/>
      <c r="H139" s="45">
        <f t="shared" si="39"/>
        <v>0</v>
      </c>
      <c r="I139" s="43">
        <v>1</v>
      </c>
      <c r="J139" s="45">
        <f t="shared" si="41"/>
        <v>1.6632000000000002</v>
      </c>
      <c r="K139" s="45">
        <f t="shared" si="32"/>
        <v>1.6632000000000002</v>
      </c>
      <c r="L139" s="78"/>
      <c r="M139" s="45"/>
      <c r="N139" s="25"/>
    </row>
    <row r="140" spans="1:14" x14ac:dyDescent="0.25">
      <c r="A140" s="101"/>
      <c r="B140" s="99"/>
      <c r="C140" s="98"/>
      <c r="D140" s="97"/>
      <c r="E140" s="97"/>
      <c r="F140" s="43"/>
      <c r="G140" s="45"/>
      <c r="H140" s="45"/>
      <c r="I140" s="43">
        <v>1</v>
      </c>
      <c r="J140" s="45">
        <f t="shared" ref="J140:J150" si="42">0.77*2.25</f>
        <v>1.7324999999999999</v>
      </c>
      <c r="K140" s="45">
        <f t="shared" si="32"/>
        <v>1.7324999999999999</v>
      </c>
      <c r="L140" s="78"/>
      <c r="M140" s="45"/>
      <c r="N140" s="25"/>
    </row>
    <row r="141" spans="1:14" x14ac:dyDescent="0.25">
      <c r="A141" s="101"/>
      <c r="B141" s="99" t="s">
        <v>173</v>
      </c>
      <c r="C141" s="98" t="s">
        <v>168</v>
      </c>
      <c r="D141" s="97"/>
      <c r="E141" s="97">
        <f>1.83*0.72</f>
        <v>1.3176000000000001</v>
      </c>
      <c r="F141" s="43"/>
      <c r="G141" s="45"/>
      <c r="H141" s="45">
        <f t="shared" si="39"/>
        <v>0</v>
      </c>
      <c r="I141" s="43">
        <v>1</v>
      </c>
      <c r="J141" s="45">
        <f t="shared" si="41"/>
        <v>1.6632000000000002</v>
      </c>
      <c r="K141" s="45">
        <f t="shared" si="32"/>
        <v>1.6632000000000002</v>
      </c>
      <c r="L141" s="78"/>
      <c r="M141" s="45"/>
      <c r="N141" s="25"/>
    </row>
    <row r="142" spans="1:14" x14ac:dyDescent="0.25">
      <c r="A142" s="101"/>
      <c r="B142" s="99"/>
      <c r="C142" s="98"/>
      <c r="D142" s="97"/>
      <c r="E142" s="97"/>
      <c r="F142" s="43"/>
      <c r="G142" s="45"/>
      <c r="H142" s="45"/>
      <c r="I142" s="43">
        <v>1</v>
      </c>
      <c r="J142" s="45">
        <f t="shared" si="42"/>
        <v>1.7324999999999999</v>
      </c>
      <c r="K142" s="45">
        <f t="shared" si="32"/>
        <v>1.7324999999999999</v>
      </c>
      <c r="L142" s="78"/>
      <c r="M142" s="45"/>
      <c r="N142" s="25"/>
    </row>
    <row r="143" spans="1:14" x14ac:dyDescent="0.25">
      <c r="A143" s="101"/>
      <c r="B143" s="99" t="s">
        <v>173</v>
      </c>
      <c r="C143" s="98" t="s">
        <v>169</v>
      </c>
      <c r="D143" s="97"/>
      <c r="E143" s="97">
        <f t="shared" ref="E143" si="43">1.83*0.72</f>
        <v>1.3176000000000001</v>
      </c>
      <c r="F143" s="43"/>
      <c r="G143" s="45"/>
      <c r="H143" s="45">
        <f t="shared" si="39"/>
        <v>0</v>
      </c>
      <c r="I143" s="43">
        <v>1</v>
      </c>
      <c r="J143" s="45">
        <f t="shared" si="41"/>
        <v>1.6632000000000002</v>
      </c>
      <c r="K143" s="45">
        <f t="shared" si="32"/>
        <v>1.6632000000000002</v>
      </c>
      <c r="L143" s="78"/>
      <c r="M143" s="45"/>
      <c r="N143" s="25"/>
    </row>
    <row r="144" spans="1:14" x14ac:dyDescent="0.25">
      <c r="A144" s="101"/>
      <c r="B144" s="99"/>
      <c r="C144" s="98"/>
      <c r="D144" s="97"/>
      <c r="E144" s="97"/>
      <c r="F144" s="43"/>
      <c r="G144" s="45"/>
      <c r="H144" s="45"/>
      <c r="I144" s="43">
        <v>1</v>
      </c>
      <c r="J144" s="45">
        <f t="shared" si="42"/>
        <v>1.7324999999999999</v>
      </c>
      <c r="K144" s="45">
        <f t="shared" si="32"/>
        <v>1.7324999999999999</v>
      </c>
      <c r="L144" s="78"/>
      <c r="M144" s="45"/>
      <c r="N144" s="25"/>
    </row>
    <row r="145" spans="1:14" x14ac:dyDescent="0.25">
      <c r="A145" s="101"/>
      <c r="B145" s="99" t="s">
        <v>173</v>
      </c>
      <c r="C145" s="98" t="s">
        <v>170</v>
      </c>
      <c r="D145" s="97"/>
      <c r="E145" s="97">
        <f t="shared" ref="E145" si="44">1.83*0.72</f>
        <v>1.3176000000000001</v>
      </c>
      <c r="F145" s="43"/>
      <c r="G145" s="45"/>
      <c r="H145" s="45">
        <f t="shared" si="39"/>
        <v>0</v>
      </c>
      <c r="I145" s="43">
        <v>1</v>
      </c>
      <c r="J145" s="45">
        <f t="shared" si="41"/>
        <v>1.6632000000000002</v>
      </c>
      <c r="K145" s="45">
        <f t="shared" si="32"/>
        <v>1.6632000000000002</v>
      </c>
      <c r="L145" s="78"/>
      <c r="M145" s="45"/>
      <c r="N145" s="25"/>
    </row>
    <row r="146" spans="1:14" x14ac:dyDescent="0.25">
      <c r="A146" s="101"/>
      <c r="B146" s="99"/>
      <c r="C146" s="98"/>
      <c r="D146" s="97"/>
      <c r="E146" s="97"/>
      <c r="F146" s="43"/>
      <c r="G146" s="45"/>
      <c r="H146" s="45"/>
      <c r="I146" s="43">
        <v>1</v>
      </c>
      <c r="J146" s="45">
        <f t="shared" si="42"/>
        <v>1.7324999999999999</v>
      </c>
      <c r="K146" s="45">
        <f t="shared" si="32"/>
        <v>1.7324999999999999</v>
      </c>
      <c r="L146" s="78"/>
      <c r="M146" s="45"/>
      <c r="N146" s="25"/>
    </row>
    <row r="147" spans="1:14" x14ac:dyDescent="0.25">
      <c r="A147" s="101"/>
      <c r="B147" s="99" t="s">
        <v>173</v>
      </c>
      <c r="C147" s="98" t="s">
        <v>171</v>
      </c>
      <c r="D147" s="97"/>
      <c r="E147" s="97">
        <f t="shared" ref="E147" si="45">1.83*0.72</f>
        <v>1.3176000000000001</v>
      </c>
      <c r="F147" s="43"/>
      <c r="G147" s="45"/>
      <c r="H147" s="45">
        <f t="shared" si="39"/>
        <v>0</v>
      </c>
      <c r="I147" s="43">
        <v>2</v>
      </c>
      <c r="J147" s="45">
        <f t="shared" si="41"/>
        <v>1.6632000000000002</v>
      </c>
      <c r="K147" s="45">
        <f t="shared" si="32"/>
        <v>3.3264000000000005</v>
      </c>
      <c r="L147" s="78"/>
      <c r="M147" s="45"/>
      <c r="N147" s="25"/>
    </row>
    <row r="148" spans="1:14" x14ac:dyDescent="0.25">
      <c r="A148" s="101"/>
      <c r="B148" s="99"/>
      <c r="C148" s="98"/>
      <c r="D148" s="97"/>
      <c r="E148" s="97"/>
      <c r="F148" s="43"/>
      <c r="G148" s="45"/>
      <c r="H148" s="45"/>
      <c r="I148" s="43">
        <v>1</v>
      </c>
      <c r="J148" s="45">
        <f t="shared" si="42"/>
        <v>1.7324999999999999</v>
      </c>
      <c r="K148" s="45">
        <f t="shared" si="32"/>
        <v>1.7324999999999999</v>
      </c>
      <c r="L148" s="78"/>
      <c r="M148" s="45"/>
      <c r="N148" s="25"/>
    </row>
    <row r="149" spans="1:14" x14ac:dyDescent="0.25">
      <c r="A149" s="101"/>
      <c r="B149" s="44" t="s">
        <v>174</v>
      </c>
      <c r="C149" s="43" t="s">
        <v>172</v>
      </c>
      <c r="D149" s="45"/>
      <c r="E149" s="45">
        <f>1.83*0.72</f>
        <v>1.3176000000000001</v>
      </c>
      <c r="F149" s="43"/>
      <c r="G149" s="45"/>
      <c r="H149" s="45">
        <f t="shared" si="39"/>
        <v>0</v>
      </c>
      <c r="I149" s="43">
        <v>1</v>
      </c>
      <c r="J149" s="45">
        <f t="shared" si="41"/>
        <v>1.6632000000000002</v>
      </c>
      <c r="K149" s="45">
        <f t="shared" si="32"/>
        <v>1.6632000000000002</v>
      </c>
      <c r="L149" s="78"/>
      <c r="M149" s="45"/>
      <c r="N149" s="25"/>
    </row>
    <row r="150" spans="1:14" ht="15.75" thickBot="1" x14ac:dyDescent="0.3">
      <c r="A150" s="102"/>
      <c r="B150" s="35" t="s">
        <v>181</v>
      </c>
      <c r="C150" s="36" t="s">
        <v>126</v>
      </c>
      <c r="D150" s="37"/>
      <c r="E150" s="37"/>
      <c r="F150" s="36"/>
      <c r="G150" s="37"/>
      <c r="H150" s="37"/>
      <c r="I150" s="36">
        <v>1</v>
      </c>
      <c r="J150" s="37">
        <f t="shared" si="42"/>
        <v>1.7324999999999999</v>
      </c>
      <c r="K150" s="37">
        <f t="shared" ref="K150" si="46">I150*J150</f>
        <v>1.7324999999999999</v>
      </c>
      <c r="L150" s="80"/>
      <c r="M150" s="37"/>
      <c r="N150" s="39"/>
    </row>
    <row r="151" spans="1:14" x14ac:dyDescent="0.25">
      <c r="A151" s="100" t="s">
        <v>182</v>
      </c>
      <c r="B151" s="109" t="s">
        <v>183</v>
      </c>
      <c r="C151" s="110">
        <v>101</v>
      </c>
      <c r="D151" s="111"/>
      <c r="E151" s="111">
        <f>1.83*4.1</f>
        <v>7.5029999999999992</v>
      </c>
      <c r="F151" s="60">
        <v>3</v>
      </c>
      <c r="G151" s="61">
        <f>0.7*1.4</f>
        <v>0.97999999999999987</v>
      </c>
      <c r="H151" s="61">
        <f>F151*G151</f>
        <v>2.9399999999999995</v>
      </c>
      <c r="I151" s="60"/>
      <c r="J151" s="61"/>
      <c r="K151" s="61"/>
      <c r="L151" s="86"/>
      <c r="M151" s="61"/>
      <c r="N151" s="62"/>
    </row>
    <row r="152" spans="1:14" x14ac:dyDescent="0.25">
      <c r="A152" s="101"/>
      <c r="B152" s="99"/>
      <c r="C152" s="98"/>
      <c r="D152" s="97"/>
      <c r="E152" s="97"/>
      <c r="F152" s="43">
        <v>2</v>
      </c>
      <c r="G152" s="45">
        <f>0.73*2.23</f>
        <v>1.6278999999999999</v>
      </c>
      <c r="H152" s="45">
        <f t="shared" ref="H152:H182" si="47">F152*G152</f>
        <v>3.2557999999999998</v>
      </c>
      <c r="I152" s="43"/>
      <c r="J152" s="45"/>
      <c r="K152" s="45"/>
      <c r="L152" s="78"/>
      <c r="M152" s="45"/>
      <c r="N152" s="25"/>
    </row>
    <row r="153" spans="1:14" x14ac:dyDescent="0.25">
      <c r="A153" s="101"/>
      <c r="B153" s="99"/>
      <c r="C153" s="98"/>
      <c r="D153" s="97"/>
      <c r="E153" s="97"/>
      <c r="F153" s="43">
        <v>1</v>
      </c>
      <c r="G153" s="45">
        <f>1.43*(0.75+0.78+0.75)</f>
        <v>3.2604000000000002</v>
      </c>
      <c r="H153" s="45">
        <f t="shared" si="47"/>
        <v>3.2604000000000002</v>
      </c>
      <c r="I153" s="43"/>
      <c r="J153" s="45"/>
      <c r="K153" s="45"/>
      <c r="L153" s="78"/>
      <c r="M153" s="45"/>
      <c r="N153" s="25"/>
    </row>
    <row r="154" spans="1:14" x14ac:dyDescent="0.25">
      <c r="A154" s="101"/>
      <c r="B154" s="99" t="s">
        <v>146</v>
      </c>
      <c r="C154" s="98">
        <v>102</v>
      </c>
      <c r="D154" s="97"/>
      <c r="E154" s="97">
        <f>1.83*1.95</f>
        <v>3.5685000000000002</v>
      </c>
      <c r="F154" s="43">
        <v>1</v>
      </c>
      <c r="G154" s="45">
        <f>0.73*2.23</f>
        <v>1.6278999999999999</v>
      </c>
      <c r="H154" s="45">
        <f t="shared" si="47"/>
        <v>1.6278999999999999</v>
      </c>
      <c r="I154" s="43"/>
      <c r="J154" s="45"/>
      <c r="K154" s="45"/>
      <c r="L154" s="78"/>
      <c r="M154" s="45"/>
      <c r="N154" s="25"/>
    </row>
    <row r="155" spans="1:14" x14ac:dyDescent="0.25">
      <c r="A155" s="101"/>
      <c r="B155" s="99"/>
      <c r="C155" s="98"/>
      <c r="D155" s="97"/>
      <c r="E155" s="97"/>
      <c r="F155" s="43">
        <v>2</v>
      </c>
      <c r="G155" s="45">
        <f>0.79*2.35</f>
        <v>1.8565000000000003</v>
      </c>
      <c r="H155" s="45">
        <f t="shared" si="47"/>
        <v>3.7130000000000005</v>
      </c>
      <c r="I155" s="43"/>
      <c r="J155" s="45"/>
      <c r="K155" s="45"/>
      <c r="L155" s="78"/>
      <c r="M155" s="45"/>
      <c r="N155" s="25"/>
    </row>
    <row r="156" spans="1:14" x14ac:dyDescent="0.25">
      <c r="A156" s="101"/>
      <c r="B156" s="44" t="s">
        <v>185</v>
      </c>
      <c r="C156" s="43">
        <v>103</v>
      </c>
      <c r="D156" s="45"/>
      <c r="E156" s="45">
        <f>1.83*1.03</f>
        <v>1.8849</v>
      </c>
      <c r="F156" s="43">
        <v>1</v>
      </c>
      <c r="G156" s="45">
        <f>0.73*2.23</f>
        <v>1.6278999999999999</v>
      </c>
      <c r="H156" s="45">
        <f t="shared" si="47"/>
        <v>1.6278999999999999</v>
      </c>
      <c r="I156" s="43"/>
      <c r="J156" s="45"/>
      <c r="K156" s="45"/>
      <c r="L156" s="78"/>
      <c r="M156" s="45"/>
      <c r="N156" s="25"/>
    </row>
    <row r="157" spans="1:14" x14ac:dyDescent="0.25">
      <c r="A157" s="101"/>
      <c r="B157" s="99" t="s">
        <v>184</v>
      </c>
      <c r="C157" s="98">
        <v>104</v>
      </c>
      <c r="D157" s="97">
        <f>1.57*(10+6)</f>
        <v>25.12</v>
      </c>
      <c r="E157" s="97"/>
      <c r="F157" s="43">
        <v>2</v>
      </c>
      <c r="G157" s="45">
        <f>0.73*2.23</f>
        <v>1.6278999999999999</v>
      </c>
      <c r="H157" s="45">
        <f t="shared" si="47"/>
        <v>3.2557999999999998</v>
      </c>
      <c r="I157" s="43"/>
      <c r="J157" s="45"/>
      <c r="K157" s="45"/>
      <c r="L157" s="78"/>
      <c r="M157" s="45"/>
      <c r="N157" s="25"/>
    </row>
    <row r="158" spans="1:14" x14ac:dyDescent="0.25">
      <c r="A158" s="101"/>
      <c r="B158" s="99"/>
      <c r="C158" s="98"/>
      <c r="D158" s="97"/>
      <c r="E158" s="97"/>
      <c r="F158" s="43">
        <v>8</v>
      </c>
      <c r="G158" s="45">
        <f>0.74*(0.7+1.43)</f>
        <v>1.5761999999999998</v>
      </c>
      <c r="H158" s="45">
        <f t="shared" si="47"/>
        <v>12.609599999999999</v>
      </c>
      <c r="I158" s="43"/>
      <c r="J158" s="45"/>
      <c r="K158" s="45"/>
      <c r="L158" s="78"/>
      <c r="M158" s="45"/>
      <c r="N158" s="25"/>
    </row>
    <row r="159" spans="1:14" x14ac:dyDescent="0.25">
      <c r="A159" s="101"/>
      <c r="B159" s="99" t="s">
        <v>186</v>
      </c>
      <c r="C159" s="98">
        <v>105</v>
      </c>
      <c r="D159" s="97"/>
      <c r="E159" s="97">
        <f>2.45*5.19</f>
        <v>12.715500000000002</v>
      </c>
      <c r="F159" s="43">
        <v>3</v>
      </c>
      <c r="G159" s="45">
        <f>0.73*2.23</f>
        <v>1.6278999999999999</v>
      </c>
      <c r="H159" s="45">
        <f t="shared" si="47"/>
        <v>4.8836999999999993</v>
      </c>
      <c r="I159" s="43"/>
      <c r="J159" s="45"/>
      <c r="K159" s="45"/>
      <c r="L159" s="78"/>
      <c r="M159" s="45"/>
      <c r="N159" s="25"/>
    </row>
    <row r="160" spans="1:14" x14ac:dyDescent="0.25">
      <c r="A160" s="101"/>
      <c r="B160" s="99"/>
      <c r="C160" s="98"/>
      <c r="D160" s="97"/>
      <c r="E160" s="97"/>
      <c r="F160" s="43">
        <v>2</v>
      </c>
      <c r="G160" s="45">
        <f>0.79*2.35</f>
        <v>1.8565000000000003</v>
      </c>
      <c r="H160" s="45">
        <f t="shared" si="47"/>
        <v>3.7130000000000005</v>
      </c>
      <c r="I160" s="43"/>
      <c r="J160" s="45"/>
      <c r="K160" s="45"/>
      <c r="L160" s="78"/>
      <c r="M160" s="45"/>
      <c r="N160" s="25"/>
    </row>
    <row r="161" spans="1:14" x14ac:dyDescent="0.25">
      <c r="A161" s="101"/>
      <c r="B161" s="44" t="s">
        <v>187</v>
      </c>
      <c r="C161" s="43">
        <v>106</v>
      </c>
      <c r="D161" s="45"/>
      <c r="E161" s="45">
        <f>1.83*2.62</f>
        <v>4.7946</v>
      </c>
      <c r="F161" s="43">
        <v>2</v>
      </c>
      <c r="G161" s="45">
        <f>0.74*(0.7+1.43)</f>
        <v>1.5761999999999998</v>
      </c>
      <c r="H161" s="45">
        <f t="shared" si="47"/>
        <v>3.1523999999999996</v>
      </c>
      <c r="I161" s="43"/>
      <c r="J161" s="45"/>
      <c r="K161" s="45"/>
      <c r="L161" s="78"/>
      <c r="M161" s="45"/>
      <c r="N161" s="25"/>
    </row>
    <row r="162" spans="1:14" x14ac:dyDescent="0.25">
      <c r="A162" s="101"/>
      <c r="B162" s="99" t="s">
        <v>188</v>
      </c>
      <c r="C162" s="98">
        <v>107</v>
      </c>
      <c r="D162" s="97"/>
      <c r="E162" s="97">
        <f>1.83*0.5</f>
        <v>0.91500000000000004</v>
      </c>
      <c r="F162" s="43">
        <v>1</v>
      </c>
      <c r="G162" s="45">
        <f>0.73*2.23</f>
        <v>1.6278999999999999</v>
      </c>
      <c r="H162" s="45">
        <f t="shared" si="47"/>
        <v>1.6278999999999999</v>
      </c>
      <c r="I162" s="43"/>
      <c r="J162" s="45"/>
      <c r="K162" s="45"/>
      <c r="L162" s="78"/>
      <c r="M162" s="45"/>
      <c r="N162" s="25"/>
    </row>
    <row r="163" spans="1:14" x14ac:dyDescent="0.25">
      <c r="A163" s="101"/>
      <c r="B163" s="99"/>
      <c r="C163" s="98"/>
      <c r="D163" s="97"/>
      <c r="E163" s="97"/>
      <c r="F163" s="43">
        <v>3</v>
      </c>
      <c r="G163" s="45">
        <f>0.74*(0.7+1.43)</f>
        <v>1.5761999999999998</v>
      </c>
      <c r="H163" s="45">
        <f t="shared" si="47"/>
        <v>4.7285999999999992</v>
      </c>
      <c r="I163" s="43"/>
      <c r="J163" s="45"/>
      <c r="K163" s="45"/>
      <c r="L163" s="78"/>
      <c r="M163" s="45"/>
      <c r="N163" s="25"/>
    </row>
    <row r="164" spans="1:14" x14ac:dyDescent="0.25">
      <c r="A164" s="101"/>
      <c r="B164" s="44" t="s">
        <v>184</v>
      </c>
      <c r="C164" s="43">
        <v>108</v>
      </c>
      <c r="D164" s="45"/>
      <c r="E164" s="45">
        <f>1.83*3.72</f>
        <v>6.8076000000000008</v>
      </c>
      <c r="F164" s="43">
        <v>2</v>
      </c>
      <c r="G164" s="45">
        <f>0.74*(0.7+1.43)</f>
        <v>1.5761999999999998</v>
      </c>
      <c r="H164" s="45">
        <f t="shared" si="47"/>
        <v>3.1523999999999996</v>
      </c>
      <c r="I164" s="43"/>
      <c r="J164" s="45"/>
      <c r="K164" s="45"/>
      <c r="L164" s="78"/>
      <c r="M164" s="45"/>
      <c r="N164" s="25"/>
    </row>
    <row r="165" spans="1:14" x14ac:dyDescent="0.25">
      <c r="A165" s="101"/>
      <c r="B165" s="44" t="s">
        <v>47</v>
      </c>
      <c r="C165" s="43">
        <v>109</v>
      </c>
      <c r="D165" s="45">
        <f>1.75*2.33</f>
        <v>4.0775000000000006</v>
      </c>
      <c r="E165" s="45">
        <f>1.83*2.64</f>
        <v>4.8312000000000008</v>
      </c>
      <c r="F165" s="43"/>
      <c r="G165" s="45"/>
      <c r="H165" s="45">
        <f t="shared" si="47"/>
        <v>0</v>
      </c>
      <c r="I165" s="43"/>
      <c r="J165" s="45"/>
      <c r="K165" s="45"/>
      <c r="L165" s="78"/>
      <c r="M165" s="45"/>
      <c r="N165" s="25"/>
    </row>
    <row r="166" spans="1:14" x14ac:dyDescent="0.25">
      <c r="A166" s="101"/>
      <c r="B166" s="99" t="s">
        <v>184</v>
      </c>
      <c r="C166" s="98">
        <v>111</v>
      </c>
      <c r="D166" s="97">
        <f>1.57*(3.39*2)</f>
        <v>10.644600000000001</v>
      </c>
      <c r="E166" s="97">
        <f>(1.83*0.5)</f>
        <v>0.91500000000000004</v>
      </c>
      <c r="F166" s="43">
        <v>7</v>
      </c>
      <c r="G166" s="45">
        <f>0.74*(0.93+0.91)</f>
        <v>1.3616000000000001</v>
      </c>
      <c r="H166" s="45">
        <f t="shared" si="47"/>
        <v>9.5312000000000019</v>
      </c>
      <c r="I166" s="43"/>
      <c r="J166" s="45"/>
      <c r="K166" s="45"/>
      <c r="L166" s="78"/>
      <c r="M166" s="45"/>
      <c r="N166" s="25"/>
    </row>
    <row r="167" spans="1:14" x14ac:dyDescent="0.25">
      <c r="A167" s="101"/>
      <c r="B167" s="99"/>
      <c r="C167" s="98"/>
      <c r="D167" s="97"/>
      <c r="E167" s="97"/>
      <c r="F167" s="43">
        <v>2</v>
      </c>
      <c r="G167" s="45">
        <f>2.35*0.79</f>
        <v>1.8565000000000003</v>
      </c>
      <c r="H167" s="45">
        <f t="shared" si="47"/>
        <v>3.7130000000000005</v>
      </c>
      <c r="I167" s="43"/>
      <c r="J167" s="45"/>
      <c r="K167" s="45"/>
      <c r="L167" s="78"/>
      <c r="M167" s="45"/>
      <c r="N167" s="25"/>
    </row>
    <row r="168" spans="1:14" x14ac:dyDescent="0.25">
      <c r="A168" s="101"/>
      <c r="B168" s="99"/>
      <c r="C168" s="98"/>
      <c r="D168" s="97"/>
      <c r="E168" s="97"/>
      <c r="F168" s="43">
        <v>11</v>
      </c>
      <c r="G168" s="45">
        <f>0.74*(0.7+1.43)</f>
        <v>1.5761999999999998</v>
      </c>
      <c r="H168" s="45">
        <f t="shared" si="47"/>
        <v>17.338199999999997</v>
      </c>
      <c r="I168" s="43"/>
      <c r="J168" s="45"/>
      <c r="K168" s="45"/>
      <c r="L168" s="78"/>
      <c r="M168" s="45"/>
      <c r="N168" s="25"/>
    </row>
    <row r="169" spans="1:14" x14ac:dyDescent="0.25">
      <c r="A169" s="101"/>
      <c r="B169" s="44" t="s">
        <v>189</v>
      </c>
      <c r="C169" s="43">
        <v>113</v>
      </c>
      <c r="D169" s="45"/>
      <c r="E169" s="45">
        <f>2.57*(3.46+2.79+1.02+0.98+2.77)</f>
        <v>28.321399999999997</v>
      </c>
      <c r="F169" s="43"/>
      <c r="G169" s="45"/>
      <c r="H169" s="45">
        <f t="shared" si="47"/>
        <v>0</v>
      </c>
      <c r="I169" s="43"/>
      <c r="J169" s="45"/>
      <c r="K169" s="45"/>
      <c r="L169" s="78"/>
      <c r="M169" s="45"/>
      <c r="N169" s="25"/>
    </row>
    <row r="170" spans="1:14" x14ac:dyDescent="0.25">
      <c r="A170" s="101"/>
      <c r="B170" s="44" t="s">
        <v>190</v>
      </c>
      <c r="C170" s="43">
        <v>115</v>
      </c>
      <c r="D170" s="45"/>
      <c r="E170" s="45">
        <f>1.83*0.5</f>
        <v>0.91500000000000004</v>
      </c>
      <c r="F170" s="43">
        <v>2</v>
      </c>
      <c r="G170" s="45">
        <f>0.74*(0.7+1.43)</f>
        <v>1.5761999999999998</v>
      </c>
      <c r="H170" s="45">
        <f t="shared" si="47"/>
        <v>3.1523999999999996</v>
      </c>
      <c r="I170" s="43"/>
      <c r="J170" s="45"/>
      <c r="K170" s="45"/>
      <c r="L170" s="78"/>
      <c r="M170" s="45"/>
      <c r="N170" s="25"/>
    </row>
    <row r="171" spans="1:14" x14ac:dyDescent="0.25">
      <c r="A171" s="101"/>
      <c r="B171" s="99" t="s">
        <v>191</v>
      </c>
      <c r="C171" s="98">
        <v>116</v>
      </c>
      <c r="D171" s="97"/>
      <c r="E171" s="97">
        <f>1.83*1.9</f>
        <v>3.4769999999999999</v>
      </c>
      <c r="F171" s="43">
        <v>2</v>
      </c>
      <c r="G171" s="45">
        <f>0.74*(0.7+1.43)</f>
        <v>1.5761999999999998</v>
      </c>
      <c r="H171" s="45">
        <f t="shared" si="47"/>
        <v>3.1523999999999996</v>
      </c>
      <c r="I171" s="43"/>
      <c r="J171" s="45"/>
      <c r="K171" s="45"/>
      <c r="L171" s="78"/>
      <c r="M171" s="45"/>
      <c r="N171" s="25"/>
    </row>
    <row r="172" spans="1:14" x14ac:dyDescent="0.25">
      <c r="A172" s="101"/>
      <c r="B172" s="99"/>
      <c r="C172" s="98"/>
      <c r="D172" s="97"/>
      <c r="E172" s="97"/>
      <c r="F172" s="43">
        <v>5</v>
      </c>
      <c r="G172" s="45">
        <f>0.73*2.23</f>
        <v>1.6278999999999999</v>
      </c>
      <c r="H172" s="45">
        <f t="shared" si="47"/>
        <v>8.1395</v>
      </c>
      <c r="I172" s="43"/>
      <c r="J172" s="45"/>
      <c r="K172" s="45"/>
      <c r="L172" s="78"/>
      <c r="M172" s="45"/>
      <c r="N172" s="25"/>
    </row>
    <row r="173" spans="1:14" x14ac:dyDescent="0.25">
      <c r="A173" s="101"/>
      <c r="B173" s="99"/>
      <c r="C173" s="98"/>
      <c r="D173" s="97"/>
      <c r="E173" s="97"/>
      <c r="F173" s="43">
        <v>1</v>
      </c>
      <c r="G173" s="45">
        <f>2.35*0.79</f>
        <v>1.8565000000000003</v>
      </c>
      <c r="H173" s="45">
        <f t="shared" si="47"/>
        <v>1.8565000000000003</v>
      </c>
      <c r="I173" s="43"/>
      <c r="J173" s="45"/>
      <c r="K173" s="45"/>
      <c r="L173" s="78"/>
      <c r="M173" s="45"/>
      <c r="N173" s="25"/>
    </row>
    <row r="174" spans="1:14" x14ac:dyDescent="0.25">
      <c r="A174" s="101"/>
      <c r="B174" s="99" t="s">
        <v>192</v>
      </c>
      <c r="C174" s="98">
        <v>117</v>
      </c>
      <c r="D174" s="97"/>
      <c r="E174" s="97">
        <f>1.83*2.8</f>
        <v>5.1239999999999997</v>
      </c>
      <c r="F174" s="43">
        <v>3</v>
      </c>
      <c r="G174" s="45">
        <f>0.73*2.23</f>
        <v>1.6278999999999999</v>
      </c>
      <c r="H174" s="45">
        <f t="shared" si="47"/>
        <v>4.8836999999999993</v>
      </c>
      <c r="I174" s="43"/>
      <c r="J174" s="45"/>
      <c r="K174" s="45"/>
      <c r="L174" s="78"/>
      <c r="M174" s="45"/>
      <c r="N174" s="25"/>
    </row>
    <row r="175" spans="1:14" x14ac:dyDescent="0.25">
      <c r="A175" s="101"/>
      <c r="B175" s="99"/>
      <c r="C175" s="98"/>
      <c r="D175" s="97"/>
      <c r="E175" s="97"/>
      <c r="F175" s="43">
        <v>1</v>
      </c>
      <c r="G175" s="45">
        <f>0.79*2.35</f>
        <v>1.8565000000000003</v>
      </c>
      <c r="H175" s="45">
        <f t="shared" si="47"/>
        <v>1.8565000000000003</v>
      </c>
      <c r="I175" s="43"/>
      <c r="J175" s="45"/>
      <c r="K175" s="45"/>
      <c r="L175" s="78"/>
      <c r="M175" s="45"/>
      <c r="N175" s="25"/>
    </row>
    <row r="176" spans="1:14" x14ac:dyDescent="0.25">
      <c r="A176" s="101"/>
      <c r="B176" s="99" t="s">
        <v>192</v>
      </c>
      <c r="C176" s="98">
        <v>118</v>
      </c>
      <c r="D176" s="97"/>
      <c r="E176" s="97">
        <f>1.83*2.1</f>
        <v>3.8430000000000004</v>
      </c>
      <c r="F176" s="43">
        <v>4</v>
      </c>
      <c r="G176" s="45">
        <f>0.73*2.23</f>
        <v>1.6278999999999999</v>
      </c>
      <c r="H176" s="45">
        <f t="shared" si="47"/>
        <v>6.5115999999999996</v>
      </c>
      <c r="I176" s="43"/>
      <c r="J176" s="45"/>
      <c r="K176" s="45"/>
      <c r="L176" s="78"/>
      <c r="M176" s="45"/>
      <c r="N176" s="25"/>
    </row>
    <row r="177" spans="1:14" x14ac:dyDescent="0.25">
      <c r="A177" s="101"/>
      <c r="B177" s="99"/>
      <c r="C177" s="98"/>
      <c r="D177" s="97"/>
      <c r="E177" s="97"/>
      <c r="F177" s="43">
        <v>1</v>
      </c>
      <c r="G177" s="45">
        <f>0.79*2.35</f>
        <v>1.8565000000000003</v>
      </c>
      <c r="H177" s="45">
        <f t="shared" si="47"/>
        <v>1.8565000000000003</v>
      </c>
      <c r="I177" s="43"/>
      <c r="J177" s="45"/>
      <c r="K177" s="45"/>
      <c r="L177" s="78"/>
      <c r="M177" s="45"/>
      <c r="N177" s="25"/>
    </row>
    <row r="178" spans="1:14" x14ac:dyDescent="0.25">
      <c r="A178" s="101"/>
      <c r="B178" s="44" t="s">
        <v>192</v>
      </c>
      <c r="C178" s="43">
        <v>119</v>
      </c>
      <c r="D178" s="45"/>
      <c r="E178" s="139">
        <f>2.57*2</f>
        <v>5.14</v>
      </c>
      <c r="F178" s="43">
        <v>2</v>
      </c>
      <c r="G178" s="45">
        <f>0.74*(0.7+1.43)</f>
        <v>1.5761999999999998</v>
      </c>
      <c r="H178" s="45">
        <f t="shared" si="47"/>
        <v>3.1523999999999996</v>
      </c>
      <c r="I178" s="43"/>
      <c r="J178" s="45"/>
      <c r="K178" s="45"/>
      <c r="L178" s="78"/>
      <c r="M178" s="45"/>
      <c r="N178" s="25"/>
    </row>
    <row r="179" spans="1:14" x14ac:dyDescent="0.25">
      <c r="A179" s="101"/>
      <c r="B179" s="44" t="s">
        <v>193</v>
      </c>
      <c r="C179" s="43">
        <v>120</v>
      </c>
      <c r="D179" s="45"/>
      <c r="E179" s="45">
        <f>1.83*1.8</f>
        <v>3.294</v>
      </c>
      <c r="F179" s="43">
        <v>1</v>
      </c>
      <c r="G179" s="45">
        <f>0.74*(0.7+1.43)</f>
        <v>1.5761999999999998</v>
      </c>
      <c r="H179" s="45">
        <f t="shared" si="47"/>
        <v>1.5761999999999998</v>
      </c>
      <c r="I179" s="43"/>
      <c r="J179" s="45"/>
      <c r="K179" s="45"/>
      <c r="L179" s="78"/>
      <c r="M179" s="45"/>
      <c r="N179" s="25"/>
    </row>
    <row r="180" spans="1:14" x14ac:dyDescent="0.25">
      <c r="A180" s="101"/>
      <c r="B180" s="99" t="s">
        <v>184</v>
      </c>
      <c r="C180" s="98">
        <v>121</v>
      </c>
      <c r="D180" s="97">
        <f>1.57*4.6</f>
        <v>7.2219999999999995</v>
      </c>
      <c r="E180" s="97"/>
      <c r="F180" s="43">
        <v>21</v>
      </c>
      <c r="G180" s="45">
        <f>0.74*(0.7+1.43)</f>
        <v>1.5761999999999998</v>
      </c>
      <c r="H180" s="45">
        <f t="shared" si="47"/>
        <v>33.100199999999994</v>
      </c>
      <c r="I180" s="43"/>
      <c r="J180" s="45"/>
      <c r="K180" s="45"/>
      <c r="L180" s="78"/>
      <c r="M180" s="45"/>
      <c r="N180" s="25"/>
    </row>
    <row r="181" spans="1:14" x14ac:dyDescent="0.25">
      <c r="A181" s="101"/>
      <c r="B181" s="99"/>
      <c r="C181" s="98"/>
      <c r="D181" s="97"/>
      <c r="E181" s="97"/>
      <c r="F181" s="43">
        <v>1</v>
      </c>
      <c r="G181" s="45">
        <f>0.73*2.23</f>
        <v>1.6278999999999999</v>
      </c>
      <c r="H181" s="45">
        <f t="shared" si="47"/>
        <v>1.6278999999999999</v>
      </c>
      <c r="I181" s="43"/>
      <c r="J181" s="45"/>
      <c r="K181" s="45"/>
      <c r="L181" s="78"/>
      <c r="M181" s="45"/>
      <c r="N181" s="25"/>
    </row>
    <row r="182" spans="1:14" x14ac:dyDescent="0.25">
      <c r="A182" s="101"/>
      <c r="B182" s="99"/>
      <c r="C182" s="98"/>
      <c r="D182" s="97"/>
      <c r="E182" s="97"/>
      <c r="F182" s="43">
        <v>4</v>
      </c>
      <c r="G182" s="45">
        <f>0.7*1.4</f>
        <v>0.97999999999999987</v>
      </c>
      <c r="H182" s="45">
        <f t="shared" si="47"/>
        <v>3.9199999999999995</v>
      </c>
      <c r="I182" s="43"/>
      <c r="J182" s="45"/>
      <c r="K182" s="45"/>
      <c r="L182" s="78"/>
      <c r="M182" s="45"/>
      <c r="N182" s="25"/>
    </row>
    <row r="183" spans="1:14" ht="15.75" thickBot="1" x14ac:dyDescent="0.3">
      <c r="A183" s="102"/>
      <c r="B183" s="35" t="s">
        <v>194</v>
      </c>
      <c r="C183" s="36">
        <v>129</v>
      </c>
      <c r="D183" s="37">
        <f>1.57*(0.6+1.95+1.95+0.6)</f>
        <v>8.0069999999999997</v>
      </c>
      <c r="E183" s="37"/>
      <c r="F183" s="36"/>
      <c r="G183" s="37"/>
      <c r="H183" s="37"/>
      <c r="I183" s="36"/>
      <c r="J183" s="37"/>
      <c r="K183" s="37"/>
      <c r="L183" s="80"/>
      <c r="M183" s="37"/>
      <c r="N183" s="39"/>
    </row>
    <row r="184" spans="1:14" x14ac:dyDescent="0.25">
      <c r="A184" s="100" t="s">
        <v>197</v>
      </c>
      <c r="B184" s="109" t="s">
        <v>198</v>
      </c>
      <c r="C184" s="110">
        <v>201</v>
      </c>
      <c r="D184" s="111"/>
      <c r="E184" s="111"/>
      <c r="F184" s="60">
        <v>22</v>
      </c>
      <c r="G184" s="61">
        <f>0.7*(1.43+0.7)</f>
        <v>1.4909999999999999</v>
      </c>
      <c r="H184" s="61">
        <f>F184*G184</f>
        <v>32.802</v>
      </c>
      <c r="I184" s="60"/>
      <c r="J184" s="61"/>
      <c r="K184" s="61"/>
      <c r="L184" s="86"/>
      <c r="M184" s="61"/>
      <c r="N184" s="62"/>
    </row>
    <row r="185" spans="1:14" x14ac:dyDescent="0.25">
      <c r="A185" s="101"/>
      <c r="B185" s="99"/>
      <c r="C185" s="98"/>
      <c r="D185" s="97"/>
      <c r="E185" s="97"/>
      <c r="F185" s="43">
        <v>2</v>
      </c>
      <c r="G185" s="45">
        <f>0.74*2.22</f>
        <v>1.6428</v>
      </c>
      <c r="H185" s="45">
        <f t="shared" ref="H185:H211" si="48">F185*G185</f>
        <v>3.2856000000000001</v>
      </c>
      <c r="I185" s="43"/>
      <c r="J185" s="45"/>
      <c r="K185" s="45"/>
      <c r="L185" s="78"/>
      <c r="M185" s="45"/>
      <c r="N185" s="25"/>
    </row>
    <row r="186" spans="1:14" x14ac:dyDescent="0.25">
      <c r="A186" s="101"/>
      <c r="B186" s="44" t="s">
        <v>199</v>
      </c>
      <c r="C186" s="43">
        <v>202</v>
      </c>
      <c r="D186" s="45"/>
      <c r="E186" s="45">
        <f>2.57*(0.97+0.97)</f>
        <v>4.9857999999999993</v>
      </c>
      <c r="F186" s="43">
        <v>2</v>
      </c>
      <c r="G186" s="45">
        <f>0.7*(1.43+0.7)</f>
        <v>1.4909999999999999</v>
      </c>
      <c r="H186" s="45">
        <f t="shared" si="48"/>
        <v>2.9819999999999998</v>
      </c>
      <c r="I186" s="43"/>
      <c r="J186" s="45"/>
      <c r="K186" s="45"/>
      <c r="L186" s="78"/>
      <c r="M186" s="45"/>
      <c r="N186" s="25"/>
    </row>
    <row r="187" spans="1:14" x14ac:dyDescent="0.25">
      <c r="A187" s="101"/>
      <c r="B187" s="99" t="s">
        <v>102</v>
      </c>
      <c r="C187" s="98">
        <v>203</v>
      </c>
      <c r="D187" s="97"/>
      <c r="E187" s="97">
        <f>2.57*2</f>
        <v>5.14</v>
      </c>
      <c r="F187" s="43">
        <v>3</v>
      </c>
      <c r="G187" s="45">
        <f>0.7*(1.43+0.7)</f>
        <v>1.4909999999999999</v>
      </c>
      <c r="H187" s="45">
        <f t="shared" si="48"/>
        <v>4.4729999999999999</v>
      </c>
      <c r="I187" s="43"/>
      <c r="J187" s="45"/>
      <c r="K187" s="45"/>
      <c r="L187" s="78"/>
      <c r="M187" s="45"/>
      <c r="N187" s="25"/>
    </row>
    <row r="188" spans="1:14" x14ac:dyDescent="0.25">
      <c r="A188" s="101"/>
      <c r="B188" s="99"/>
      <c r="C188" s="98"/>
      <c r="D188" s="97"/>
      <c r="E188" s="97"/>
      <c r="F188" s="43">
        <v>1</v>
      </c>
      <c r="G188" s="45">
        <f>0.74*2.22</f>
        <v>1.6428</v>
      </c>
      <c r="H188" s="45">
        <f t="shared" si="48"/>
        <v>1.6428</v>
      </c>
      <c r="I188" s="43"/>
      <c r="J188" s="45"/>
      <c r="K188" s="45"/>
      <c r="L188" s="78"/>
      <c r="M188" s="45"/>
      <c r="N188" s="25"/>
    </row>
    <row r="189" spans="1:14" x14ac:dyDescent="0.25">
      <c r="A189" s="101"/>
      <c r="B189" s="44" t="s">
        <v>200</v>
      </c>
      <c r="C189" s="43">
        <v>204</v>
      </c>
      <c r="D189" s="45"/>
      <c r="E189" s="45">
        <f>2.57*2.2</f>
        <v>5.6539999999999999</v>
      </c>
      <c r="F189" s="43">
        <v>2</v>
      </c>
      <c r="G189" s="45">
        <f>0.7*(1.43+0.7)</f>
        <v>1.4909999999999999</v>
      </c>
      <c r="H189" s="45">
        <f t="shared" si="48"/>
        <v>2.9819999999999998</v>
      </c>
      <c r="I189" s="43"/>
      <c r="J189" s="45"/>
      <c r="K189" s="45"/>
      <c r="L189" s="78"/>
      <c r="M189" s="45"/>
      <c r="N189" s="25"/>
    </row>
    <row r="190" spans="1:14" x14ac:dyDescent="0.25">
      <c r="A190" s="101"/>
      <c r="B190" s="44" t="s">
        <v>201</v>
      </c>
      <c r="C190" s="43">
        <v>205</v>
      </c>
      <c r="D190" s="45"/>
      <c r="E190" s="45">
        <f>2.57*2</f>
        <v>5.14</v>
      </c>
      <c r="F190" s="43"/>
      <c r="G190" s="45"/>
      <c r="H190" s="45">
        <f t="shared" si="48"/>
        <v>0</v>
      </c>
      <c r="I190" s="43"/>
      <c r="J190" s="45"/>
      <c r="K190" s="45"/>
      <c r="L190" s="78"/>
      <c r="M190" s="45"/>
      <c r="N190" s="112">
        <f>2.35*(15+1.28+1.28)</f>
        <v>41.266000000000005</v>
      </c>
    </row>
    <row r="191" spans="1:14" x14ac:dyDescent="0.25">
      <c r="A191" s="101"/>
      <c r="B191" s="44" t="s">
        <v>202</v>
      </c>
      <c r="C191" s="43">
        <v>206</v>
      </c>
      <c r="D191" s="45"/>
      <c r="E191" s="45">
        <f>2.57*0.48</f>
        <v>1.2335999999999998</v>
      </c>
      <c r="F191" s="43"/>
      <c r="G191" s="45"/>
      <c r="H191" s="45">
        <f t="shared" si="48"/>
        <v>0</v>
      </c>
      <c r="I191" s="43"/>
      <c r="J191" s="45"/>
      <c r="K191" s="45"/>
      <c r="L191" s="78"/>
      <c r="M191" s="45"/>
      <c r="N191" s="112"/>
    </row>
    <row r="192" spans="1:14" x14ac:dyDescent="0.25">
      <c r="A192" s="101"/>
      <c r="B192" s="44" t="s">
        <v>203</v>
      </c>
      <c r="C192" s="43">
        <v>207</v>
      </c>
      <c r="D192" s="45"/>
      <c r="E192" s="45">
        <f>2.57*0.97</f>
        <v>2.4928999999999997</v>
      </c>
      <c r="F192" s="43"/>
      <c r="G192" s="45"/>
      <c r="H192" s="45">
        <f t="shared" si="48"/>
        <v>0</v>
      </c>
      <c r="I192" s="43"/>
      <c r="J192" s="45"/>
      <c r="K192" s="45"/>
      <c r="L192" s="78"/>
      <c r="M192" s="45"/>
      <c r="N192" s="112"/>
    </row>
    <row r="193" spans="1:14" x14ac:dyDescent="0.25">
      <c r="A193" s="101"/>
      <c r="B193" s="44" t="s">
        <v>192</v>
      </c>
      <c r="C193" s="43">
        <v>208</v>
      </c>
      <c r="D193" s="45"/>
      <c r="E193" s="45">
        <f>2.57*1</f>
        <v>2.57</v>
      </c>
      <c r="F193" s="43">
        <v>2</v>
      </c>
      <c r="G193" s="45">
        <f>0.7*(1.43+0.7)</f>
        <v>1.4909999999999999</v>
      </c>
      <c r="H193" s="45">
        <f t="shared" si="48"/>
        <v>2.9819999999999998</v>
      </c>
      <c r="I193" s="43"/>
      <c r="J193" s="45"/>
      <c r="K193" s="45"/>
      <c r="L193" s="78"/>
      <c r="M193" s="45"/>
      <c r="N193" s="25"/>
    </row>
    <row r="194" spans="1:14" x14ac:dyDescent="0.25">
      <c r="A194" s="101"/>
      <c r="B194" s="99" t="s">
        <v>192</v>
      </c>
      <c r="C194" s="98">
        <v>209</v>
      </c>
      <c r="D194" s="97"/>
      <c r="E194" s="97">
        <f>2.57*0.75</f>
        <v>1.9274999999999998</v>
      </c>
      <c r="F194" s="43">
        <v>4</v>
      </c>
      <c r="G194" s="45">
        <f>0.7*(1.43+0.7)</f>
        <v>1.4909999999999999</v>
      </c>
      <c r="H194" s="45">
        <f t="shared" si="48"/>
        <v>5.9639999999999995</v>
      </c>
      <c r="I194" s="43"/>
      <c r="J194" s="45"/>
      <c r="K194" s="45"/>
      <c r="L194" s="78"/>
      <c r="M194" s="45"/>
      <c r="N194" s="25"/>
    </row>
    <row r="195" spans="1:14" x14ac:dyDescent="0.25">
      <c r="A195" s="101"/>
      <c r="B195" s="99"/>
      <c r="C195" s="98"/>
      <c r="D195" s="97"/>
      <c r="E195" s="97"/>
      <c r="F195" s="43">
        <v>1</v>
      </c>
      <c r="G195" s="45">
        <f>0.74*2.22</f>
        <v>1.6428</v>
      </c>
      <c r="H195" s="45">
        <f>F195*G195</f>
        <v>1.6428</v>
      </c>
      <c r="I195" s="43"/>
      <c r="J195" s="45"/>
      <c r="K195" s="45"/>
      <c r="L195" s="78"/>
      <c r="M195" s="45"/>
      <c r="N195" s="25"/>
    </row>
    <row r="196" spans="1:14" x14ac:dyDescent="0.25">
      <c r="A196" s="101"/>
      <c r="B196" s="99" t="s">
        <v>204</v>
      </c>
      <c r="C196" s="98">
        <v>210</v>
      </c>
      <c r="D196" s="97"/>
      <c r="E196" s="97"/>
      <c r="F196" s="43">
        <v>12</v>
      </c>
      <c r="G196" s="45">
        <f>0.7*(1.43+0.7)</f>
        <v>1.4909999999999999</v>
      </c>
      <c r="H196" s="45">
        <f t="shared" si="48"/>
        <v>17.891999999999999</v>
      </c>
      <c r="I196" s="43"/>
      <c r="J196" s="45"/>
      <c r="K196" s="45"/>
      <c r="L196" s="78"/>
      <c r="M196" s="45"/>
      <c r="N196" s="25"/>
    </row>
    <row r="197" spans="1:14" x14ac:dyDescent="0.25">
      <c r="A197" s="101"/>
      <c r="B197" s="99"/>
      <c r="C197" s="98"/>
      <c r="D197" s="97"/>
      <c r="E197" s="97"/>
      <c r="F197" s="43">
        <v>5</v>
      </c>
      <c r="G197" s="45">
        <f>0.74*2.22</f>
        <v>1.6428</v>
      </c>
      <c r="H197" s="45">
        <f t="shared" si="48"/>
        <v>8.2140000000000004</v>
      </c>
      <c r="I197" s="43"/>
      <c r="J197" s="45"/>
      <c r="K197" s="45"/>
      <c r="L197" s="78"/>
      <c r="M197" s="45"/>
      <c r="N197" s="25"/>
    </row>
    <row r="198" spans="1:14" x14ac:dyDescent="0.25">
      <c r="A198" s="101"/>
      <c r="B198" s="99"/>
      <c r="C198" s="98"/>
      <c r="D198" s="97"/>
      <c r="E198" s="97"/>
      <c r="F198" s="43">
        <v>2</v>
      </c>
      <c r="G198" s="45">
        <f>0.78*2.38</f>
        <v>1.8564000000000001</v>
      </c>
      <c r="H198" s="45">
        <f t="shared" si="48"/>
        <v>3.7128000000000001</v>
      </c>
      <c r="I198" s="43"/>
      <c r="J198" s="45"/>
      <c r="K198" s="45"/>
      <c r="L198" s="78"/>
      <c r="M198" s="45"/>
      <c r="N198" s="25"/>
    </row>
    <row r="199" spans="1:14" x14ac:dyDescent="0.25">
      <c r="A199" s="101"/>
      <c r="B199" s="99" t="s">
        <v>205</v>
      </c>
      <c r="C199" s="98">
        <v>211</v>
      </c>
      <c r="D199" s="98"/>
      <c r="E199" s="98">
        <f>2.57*0.46</f>
        <v>1.1821999999999999</v>
      </c>
      <c r="F199" s="43">
        <v>2</v>
      </c>
      <c r="G199" s="45">
        <f>0.7*(1.43+0.7)</f>
        <v>1.4909999999999999</v>
      </c>
      <c r="H199" s="45">
        <f t="shared" si="48"/>
        <v>2.9819999999999998</v>
      </c>
      <c r="I199" s="43"/>
      <c r="J199" s="45"/>
      <c r="K199" s="45"/>
      <c r="L199" s="78"/>
      <c r="M199" s="45"/>
      <c r="N199" s="25"/>
    </row>
    <row r="200" spans="1:14" x14ac:dyDescent="0.25">
      <c r="A200" s="101"/>
      <c r="B200" s="99"/>
      <c r="C200" s="98"/>
      <c r="D200" s="98"/>
      <c r="E200" s="98"/>
      <c r="F200" s="43">
        <v>1</v>
      </c>
      <c r="G200" s="45">
        <f>0.74*2.22</f>
        <v>1.6428</v>
      </c>
      <c r="H200" s="45">
        <f t="shared" si="48"/>
        <v>1.6428</v>
      </c>
      <c r="I200" s="43"/>
      <c r="J200" s="45"/>
      <c r="K200" s="45"/>
      <c r="L200" s="78"/>
      <c r="M200" s="45"/>
      <c r="N200" s="25"/>
    </row>
    <row r="201" spans="1:14" x14ac:dyDescent="0.25">
      <c r="A201" s="101"/>
      <c r="B201" s="44" t="s">
        <v>206</v>
      </c>
      <c r="C201" s="43">
        <v>212</v>
      </c>
      <c r="D201" s="45"/>
      <c r="E201" s="45">
        <f>2.57*0.69</f>
        <v>1.7732999999999997</v>
      </c>
      <c r="F201" s="43">
        <v>1</v>
      </c>
      <c r="G201" s="45">
        <f>0.7*(1.43+0.7)</f>
        <v>1.4909999999999999</v>
      </c>
      <c r="H201" s="45">
        <f t="shared" si="48"/>
        <v>1.4909999999999999</v>
      </c>
      <c r="I201" s="43"/>
      <c r="J201" s="45"/>
      <c r="K201" s="45"/>
      <c r="L201" s="78"/>
      <c r="M201" s="45"/>
      <c r="N201" s="25"/>
    </row>
    <row r="202" spans="1:14" x14ac:dyDescent="0.25">
      <c r="A202" s="101"/>
      <c r="B202" s="44" t="s">
        <v>207</v>
      </c>
      <c r="C202" s="43">
        <v>213</v>
      </c>
      <c r="D202" s="45"/>
      <c r="E202" s="45">
        <f>2.57*0.68</f>
        <v>1.7476</v>
      </c>
      <c r="F202" s="43">
        <v>1</v>
      </c>
      <c r="G202" s="45">
        <f>0.7*(1.43+0.7)</f>
        <v>1.4909999999999999</v>
      </c>
      <c r="H202" s="45">
        <f t="shared" si="48"/>
        <v>1.4909999999999999</v>
      </c>
      <c r="I202" s="43"/>
      <c r="J202" s="45"/>
      <c r="K202" s="45"/>
      <c r="L202" s="78"/>
      <c r="M202" s="45"/>
      <c r="N202" s="25"/>
    </row>
    <row r="203" spans="1:14" x14ac:dyDescent="0.25">
      <c r="A203" s="101"/>
      <c r="B203" s="44" t="s">
        <v>208</v>
      </c>
      <c r="C203" s="43">
        <v>214</v>
      </c>
      <c r="D203" s="45"/>
      <c r="E203" s="45">
        <f>2.57*0.68</f>
        <v>1.7476</v>
      </c>
      <c r="F203" s="43">
        <v>2</v>
      </c>
      <c r="G203" s="45">
        <f t="shared" ref="G203:G210" si="49">0.7*(1.43+0.7)</f>
        <v>1.4909999999999999</v>
      </c>
      <c r="H203" s="45">
        <f t="shared" si="48"/>
        <v>2.9819999999999998</v>
      </c>
      <c r="I203" s="43"/>
      <c r="J203" s="45"/>
      <c r="K203" s="45"/>
      <c r="L203" s="78"/>
      <c r="M203" s="45"/>
      <c r="N203" s="25"/>
    </row>
    <row r="204" spans="1:14" x14ac:dyDescent="0.25">
      <c r="A204" s="101"/>
      <c r="B204" s="44" t="s">
        <v>209</v>
      </c>
      <c r="C204" s="43">
        <v>215</v>
      </c>
      <c r="D204" s="45"/>
      <c r="E204" s="45">
        <f>2.57*2</f>
        <v>5.14</v>
      </c>
      <c r="F204" s="43">
        <v>1</v>
      </c>
      <c r="G204" s="45">
        <f t="shared" si="49"/>
        <v>1.4909999999999999</v>
      </c>
      <c r="H204" s="45">
        <f t="shared" si="48"/>
        <v>1.4909999999999999</v>
      </c>
      <c r="I204" s="43"/>
      <c r="J204" s="45"/>
      <c r="K204" s="45"/>
      <c r="L204" s="78"/>
      <c r="M204" s="45"/>
      <c r="N204" s="25"/>
    </row>
    <row r="205" spans="1:14" x14ac:dyDescent="0.25">
      <c r="A205" s="101"/>
      <c r="B205" s="44" t="s">
        <v>190</v>
      </c>
      <c r="C205" s="43">
        <v>216</v>
      </c>
      <c r="D205" s="45"/>
      <c r="E205" s="45">
        <f>2.57*2.35</f>
        <v>6.0394999999999994</v>
      </c>
      <c r="F205" s="43"/>
      <c r="G205" s="45"/>
      <c r="H205" s="45">
        <f t="shared" si="48"/>
        <v>0</v>
      </c>
      <c r="I205" s="43"/>
      <c r="J205" s="45"/>
      <c r="K205" s="45"/>
      <c r="L205" s="78"/>
      <c r="M205" s="45"/>
      <c r="N205" s="25"/>
    </row>
    <row r="206" spans="1:14" x14ac:dyDescent="0.25">
      <c r="A206" s="101"/>
      <c r="B206" s="44" t="s">
        <v>210</v>
      </c>
      <c r="C206" s="43">
        <v>217</v>
      </c>
      <c r="D206" s="45"/>
      <c r="E206" s="45">
        <f>2.57*1.32</f>
        <v>3.3923999999999999</v>
      </c>
      <c r="F206" s="43">
        <v>2</v>
      </c>
      <c r="G206" s="45">
        <f t="shared" si="49"/>
        <v>1.4909999999999999</v>
      </c>
      <c r="H206" s="45">
        <f t="shared" si="48"/>
        <v>2.9819999999999998</v>
      </c>
      <c r="I206" s="43"/>
      <c r="J206" s="45"/>
      <c r="K206" s="45"/>
      <c r="L206" s="78"/>
      <c r="M206" s="45"/>
      <c r="N206" s="25"/>
    </row>
    <row r="207" spans="1:14" x14ac:dyDescent="0.25">
      <c r="A207" s="101"/>
      <c r="B207" s="44" t="s">
        <v>211</v>
      </c>
      <c r="C207" s="43">
        <v>218</v>
      </c>
      <c r="D207" s="45">
        <f>1.58*(0.58+4.46)</f>
        <v>7.9632000000000005</v>
      </c>
      <c r="E207" s="45"/>
      <c r="F207" s="43">
        <v>4</v>
      </c>
      <c r="G207" s="45">
        <f t="shared" si="49"/>
        <v>1.4909999999999999</v>
      </c>
      <c r="H207" s="45">
        <f t="shared" si="48"/>
        <v>5.9639999999999995</v>
      </c>
      <c r="I207" s="43"/>
      <c r="J207" s="45"/>
      <c r="K207" s="45"/>
      <c r="L207" s="78"/>
      <c r="M207" s="45"/>
      <c r="N207" s="25"/>
    </row>
    <row r="208" spans="1:14" x14ac:dyDescent="0.25">
      <c r="A208" s="101"/>
      <c r="B208" s="44" t="s">
        <v>212</v>
      </c>
      <c r="C208" s="43">
        <v>219</v>
      </c>
      <c r="D208" s="45">
        <f>1.58*(2.06+1.67)</f>
        <v>5.8934000000000006</v>
      </c>
      <c r="E208" s="45">
        <f>2.57*2.77</f>
        <v>7.1189</v>
      </c>
      <c r="F208" s="43">
        <v>2</v>
      </c>
      <c r="G208" s="45">
        <f t="shared" si="49"/>
        <v>1.4909999999999999</v>
      </c>
      <c r="H208" s="45">
        <f t="shared" si="48"/>
        <v>2.9819999999999998</v>
      </c>
      <c r="I208" s="43"/>
      <c r="J208" s="45"/>
      <c r="K208" s="45"/>
      <c r="L208" s="78"/>
      <c r="M208" s="45"/>
      <c r="N208" s="25"/>
    </row>
    <row r="209" spans="1:14" x14ac:dyDescent="0.25">
      <c r="A209" s="101"/>
      <c r="B209" s="44" t="s">
        <v>213</v>
      </c>
      <c r="C209" s="43">
        <v>221</v>
      </c>
      <c r="D209" s="45">
        <f>1*3.5</f>
        <v>3.5</v>
      </c>
      <c r="E209" s="45">
        <f>2.57*1.4</f>
        <v>3.5979999999999994</v>
      </c>
      <c r="F209" s="43"/>
      <c r="G209" s="45"/>
      <c r="H209" s="45">
        <f t="shared" si="48"/>
        <v>0</v>
      </c>
      <c r="I209" s="43"/>
      <c r="J209" s="45"/>
      <c r="K209" s="45"/>
      <c r="L209" s="78"/>
      <c r="M209" s="45"/>
      <c r="N209" s="25"/>
    </row>
    <row r="210" spans="1:14" x14ac:dyDescent="0.25">
      <c r="A210" s="101"/>
      <c r="B210" s="44" t="s">
        <v>214</v>
      </c>
      <c r="C210" s="43">
        <v>222</v>
      </c>
      <c r="D210" s="45"/>
      <c r="E210" s="45">
        <f>2.57*(1+1.68+2.66+1.68+1)</f>
        <v>20.611399999999996</v>
      </c>
      <c r="F210" s="43">
        <v>2</v>
      </c>
      <c r="G210" s="45">
        <f t="shared" si="49"/>
        <v>1.4909999999999999</v>
      </c>
      <c r="H210" s="45">
        <f t="shared" si="48"/>
        <v>2.9819999999999998</v>
      </c>
      <c r="I210" s="43"/>
      <c r="J210" s="45"/>
      <c r="K210" s="45"/>
      <c r="L210" s="78"/>
      <c r="M210" s="45"/>
      <c r="N210" s="25"/>
    </row>
    <row r="211" spans="1:14" ht="15.75" thickBot="1" x14ac:dyDescent="0.3">
      <c r="A211" s="102"/>
      <c r="B211" s="35" t="s">
        <v>215</v>
      </c>
      <c r="C211" s="36">
        <v>228</v>
      </c>
      <c r="D211" s="141">
        <f>2.57*2.7</f>
        <v>6.9390000000000001</v>
      </c>
      <c r="E211" s="37"/>
      <c r="F211" s="36"/>
      <c r="G211" s="37"/>
      <c r="H211" s="37">
        <f t="shared" si="48"/>
        <v>0</v>
      </c>
      <c r="I211" s="36"/>
      <c r="J211" s="37"/>
      <c r="K211" s="37"/>
      <c r="L211" s="80"/>
      <c r="M211" s="37"/>
      <c r="N211" s="39"/>
    </row>
    <row r="212" spans="1:14" x14ac:dyDescent="0.25">
      <c r="A212" s="100" t="s">
        <v>216</v>
      </c>
      <c r="B212" s="59" t="s">
        <v>217</v>
      </c>
      <c r="C212" s="60">
        <v>301</v>
      </c>
      <c r="D212" s="61"/>
      <c r="E212" s="61"/>
      <c r="F212" s="60"/>
      <c r="G212" s="61"/>
      <c r="H212" s="61">
        <f>F212*G212</f>
        <v>0</v>
      </c>
      <c r="I212" s="60"/>
      <c r="J212" s="61"/>
      <c r="K212" s="61"/>
      <c r="L212" s="86"/>
      <c r="M212" s="61"/>
      <c r="N212" s="62">
        <f>2.35*(1.28+15+12.19+1.28)</f>
        <v>69.912500000000009</v>
      </c>
    </row>
    <row r="213" spans="1:14" x14ac:dyDescent="0.25">
      <c r="A213" s="101"/>
      <c r="B213" s="44" t="s">
        <v>218</v>
      </c>
      <c r="C213" s="43">
        <v>302</v>
      </c>
      <c r="D213" s="45"/>
      <c r="E213" s="45">
        <f>2.58*2.34</f>
        <v>6.0371999999999995</v>
      </c>
      <c r="F213" s="43">
        <v>2</v>
      </c>
      <c r="G213" s="45">
        <f>0.74*(1.43+0.7)</f>
        <v>1.5761999999999998</v>
      </c>
      <c r="H213" s="45">
        <f>F213*G213</f>
        <v>3.1523999999999996</v>
      </c>
      <c r="I213" s="43"/>
      <c r="J213" s="45"/>
      <c r="K213" s="45"/>
      <c r="L213" s="78"/>
      <c r="M213" s="45"/>
      <c r="N213" s="25"/>
    </row>
    <row r="214" spans="1:14" x14ac:dyDescent="0.25">
      <c r="A214" s="101"/>
      <c r="B214" s="44" t="s">
        <v>219</v>
      </c>
      <c r="C214" s="43">
        <v>303</v>
      </c>
      <c r="D214" s="45"/>
      <c r="E214" s="45">
        <f>2.58*(1.95+3.41)</f>
        <v>13.828800000000001</v>
      </c>
      <c r="F214" s="43">
        <v>1</v>
      </c>
      <c r="G214" s="45">
        <f t="shared" ref="G214:G234" si="50">0.74*(1.43+0.7)</f>
        <v>1.5761999999999998</v>
      </c>
      <c r="H214" s="45">
        <f t="shared" ref="H214:H280" si="51">F214*G214</f>
        <v>1.5761999999999998</v>
      </c>
      <c r="I214" s="43"/>
      <c r="J214" s="45"/>
      <c r="K214" s="45"/>
      <c r="L214" s="78"/>
      <c r="M214" s="45"/>
      <c r="N214" s="25"/>
    </row>
    <row r="215" spans="1:14" x14ac:dyDescent="0.25">
      <c r="A215" s="101"/>
      <c r="B215" s="44" t="s">
        <v>219</v>
      </c>
      <c r="C215" s="43">
        <v>304</v>
      </c>
      <c r="D215" s="45"/>
      <c r="E215" s="45">
        <f>2.58*0.66</f>
        <v>1.7028000000000001</v>
      </c>
      <c r="F215" s="43"/>
      <c r="G215" s="45"/>
      <c r="H215" s="45">
        <f t="shared" si="51"/>
        <v>0</v>
      </c>
      <c r="I215" s="43"/>
      <c r="J215" s="45"/>
      <c r="K215" s="45"/>
      <c r="L215" s="78"/>
      <c r="M215" s="45"/>
      <c r="N215" s="25"/>
    </row>
    <row r="216" spans="1:14" x14ac:dyDescent="0.25">
      <c r="A216" s="101"/>
      <c r="B216" s="44" t="s">
        <v>220</v>
      </c>
      <c r="C216" s="43">
        <v>305</v>
      </c>
      <c r="D216" s="45"/>
      <c r="E216" s="45"/>
      <c r="F216" s="43">
        <v>3</v>
      </c>
      <c r="G216" s="45">
        <f t="shared" si="50"/>
        <v>1.5761999999999998</v>
      </c>
      <c r="H216" s="45">
        <f t="shared" si="51"/>
        <v>4.7285999999999992</v>
      </c>
      <c r="I216" s="43"/>
      <c r="J216" s="45"/>
      <c r="K216" s="45"/>
      <c r="L216" s="78"/>
      <c r="M216" s="45"/>
      <c r="N216" s="25"/>
    </row>
    <row r="217" spans="1:14" x14ac:dyDescent="0.25">
      <c r="A217" s="101"/>
      <c r="B217" s="44" t="s">
        <v>102</v>
      </c>
      <c r="C217" s="43">
        <v>306</v>
      </c>
      <c r="D217" s="45"/>
      <c r="E217" s="45">
        <f>2.58*3.37</f>
        <v>8.6946000000000012</v>
      </c>
      <c r="F217" s="43">
        <v>2</v>
      </c>
      <c r="G217" s="45">
        <f t="shared" si="50"/>
        <v>1.5761999999999998</v>
      </c>
      <c r="H217" s="45">
        <f t="shared" si="51"/>
        <v>3.1523999999999996</v>
      </c>
      <c r="I217" s="43"/>
      <c r="J217" s="45"/>
      <c r="K217" s="45"/>
      <c r="L217" s="78"/>
      <c r="M217" s="45"/>
      <c r="N217" s="25"/>
    </row>
    <row r="218" spans="1:14" x14ac:dyDescent="0.25">
      <c r="A218" s="101"/>
      <c r="B218" s="44" t="s">
        <v>200</v>
      </c>
      <c r="C218" s="43">
        <v>307</v>
      </c>
      <c r="D218" s="45"/>
      <c r="E218" s="45">
        <f>2.58*0.65</f>
        <v>1.677</v>
      </c>
      <c r="F218" s="43">
        <v>3</v>
      </c>
      <c r="G218" s="45">
        <f t="shared" si="50"/>
        <v>1.5761999999999998</v>
      </c>
      <c r="H218" s="45">
        <f t="shared" si="51"/>
        <v>4.7285999999999992</v>
      </c>
      <c r="I218" s="43"/>
      <c r="J218" s="45"/>
      <c r="K218" s="45"/>
      <c r="L218" s="78"/>
      <c r="M218" s="45"/>
      <c r="N218" s="25"/>
    </row>
    <row r="219" spans="1:14" x14ac:dyDescent="0.25">
      <c r="A219" s="101"/>
      <c r="B219" s="44" t="s">
        <v>200</v>
      </c>
      <c r="C219" s="43">
        <v>308</v>
      </c>
      <c r="D219" s="45"/>
      <c r="E219" s="45">
        <f>2.58*0.5</f>
        <v>1.29</v>
      </c>
      <c r="F219" s="43">
        <v>2</v>
      </c>
      <c r="G219" s="45">
        <f t="shared" si="50"/>
        <v>1.5761999999999998</v>
      </c>
      <c r="H219" s="45">
        <f t="shared" si="51"/>
        <v>3.1523999999999996</v>
      </c>
      <c r="I219" s="43"/>
      <c r="J219" s="45"/>
      <c r="K219" s="45"/>
      <c r="L219" s="78"/>
      <c r="M219" s="45"/>
      <c r="N219" s="25"/>
    </row>
    <row r="220" spans="1:14" x14ac:dyDescent="0.25">
      <c r="A220" s="101"/>
      <c r="B220" s="44" t="s">
        <v>221</v>
      </c>
      <c r="C220" s="43">
        <v>309</v>
      </c>
      <c r="D220" s="45"/>
      <c r="E220" s="45">
        <f>2.58*3</f>
        <v>7.74</v>
      </c>
      <c r="F220" s="43">
        <v>13</v>
      </c>
      <c r="G220" s="45">
        <f t="shared" si="50"/>
        <v>1.5761999999999998</v>
      </c>
      <c r="H220" s="45">
        <f t="shared" si="51"/>
        <v>20.490599999999997</v>
      </c>
      <c r="I220" s="43"/>
      <c r="J220" s="45"/>
      <c r="K220" s="45"/>
      <c r="L220" s="78"/>
      <c r="M220" s="45"/>
      <c r="N220" s="25"/>
    </row>
    <row r="221" spans="1:14" x14ac:dyDescent="0.25">
      <c r="A221" s="101"/>
      <c r="B221" s="44" t="s">
        <v>222</v>
      </c>
      <c r="C221" s="43">
        <v>310</v>
      </c>
      <c r="D221" s="45"/>
      <c r="E221" s="45">
        <f>2.58*(0.91+2.97+2)</f>
        <v>15.170400000000003</v>
      </c>
      <c r="F221" s="43">
        <v>2</v>
      </c>
      <c r="G221" s="45"/>
      <c r="H221" s="45">
        <f t="shared" si="51"/>
        <v>0</v>
      </c>
      <c r="I221" s="43"/>
      <c r="J221" s="45"/>
      <c r="K221" s="45"/>
      <c r="L221" s="78"/>
      <c r="M221" s="45"/>
      <c r="N221" s="25"/>
    </row>
    <row r="222" spans="1:14" x14ac:dyDescent="0.25">
      <c r="A222" s="101"/>
      <c r="B222" s="44" t="s">
        <v>224</v>
      </c>
      <c r="C222" s="43">
        <v>311</v>
      </c>
      <c r="D222" s="45"/>
      <c r="E222" s="45">
        <f>2.58*(0.97+0.4)</f>
        <v>3.5346000000000002</v>
      </c>
      <c r="F222" s="43">
        <v>2</v>
      </c>
      <c r="G222" s="45">
        <f t="shared" si="50"/>
        <v>1.5761999999999998</v>
      </c>
      <c r="H222" s="45">
        <f t="shared" si="51"/>
        <v>3.1523999999999996</v>
      </c>
      <c r="I222" s="43"/>
      <c r="J222" s="45"/>
      <c r="K222" s="45"/>
      <c r="L222" s="78"/>
      <c r="M222" s="45"/>
      <c r="N222" s="25"/>
    </row>
    <row r="223" spans="1:14" x14ac:dyDescent="0.25">
      <c r="A223" s="101"/>
      <c r="B223" s="44" t="s">
        <v>225</v>
      </c>
      <c r="C223" s="43">
        <v>312</v>
      </c>
      <c r="D223" s="45"/>
      <c r="E223" s="45">
        <f>2.4*1.5</f>
        <v>3.5999999999999996</v>
      </c>
      <c r="F223" s="43"/>
      <c r="G223" s="45"/>
      <c r="H223" s="45">
        <f t="shared" si="51"/>
        <v>0</v>
      </c>
      <c r="I223" s="43"/>
      <c r="J223" s="45"/>
      <c r="K223" s="45"/>
      <c r="L223" s="78"/>
      <c r="M223" s="45"/>
      <c r="N223" s="25"/>
    </row>
    <row r="224" spans="1:14" x14ac:dyDescent="0.25">
      <c r="A224" s="101"/>
      <c r="B224" s="44" t="s">
        <v>222</v>
      </c>
      <c r="C224" s="43">
        <v>313</v>
      </c>
      <c r="D224" s="45"/>
      <c r="E224" s="45">
        <f>2.58*3</f>
        <v>7.74</v>
      </c>
      <c r="F224" s="43"/>
      <c r="G224" s="45"/>
      <c r="H224" s="45">
        <f t="shared" si="51"/>
        <v>0</v>
      </c>
      <c r="I224" s="43"/>
      <c r="J224" s="45"/>
      <c r="K224" s="45"/>
      <c r="L224" s="78"/>
      <c r="M224" s="45"/>
      <c r="N224" s="25"/>
    </row>
    <row r="225" spans="1:14" x14ac:dyDescent="0.25">
      <c r="A225" s="101"/>
      <c r="B225" s="44" t="s">
        <v>223</v>
      </c>
      <c r="C225" s="43">
        <v>315</v>
      </c>
      <c r="D225" s="45"/>
      <c r="E225" s="45">
        <f>2.58*2.1</f>
        <v>5.4180000000000001</v>
      </c>
      <c r="F225" s="43">
        <v>2</v>
      </c>
      <c r="G225" s="45">
        <f t="shared" si="50"/>
        <v>1.5761999999999998</v>
      </c>
      <c r="H225" s="45">
        <f t="shared" si="51"/>
        <v>3.1523999999999996</v>
      </c>
      <c r="I225" s="43"/>
      <c r="J225" s="45"/>
      <c r="K225" s="45"/>
      <c r="L225" s="78"/>
      <c r="M225" s="45"/>
      <c r="N225" s="25"/>
    </row>
    <row r="226" spans="1:14" x14ac:dyDescent="0.25">
      <c r="A226" s="101"/>
      <c r="B226" s="44" t="s">
        <v>222</v>
      </c>
      <c r="C226" s="43">
        <v>316</v>
      </c>
      <c r="D226" s="45"/>
      <c r="E226" s="45">
        <f>2.58*0.79</f>
        <v>2.0382000000000002</v>
      </c>
      <c r="F226" s="43">
        <v>1</v>
      </c>
      <c r="G226" s="45">
        <f t="shared" si="50"/>
        <v>1.5761999999999998</v>
      </c>
      <c r="H226" s="45">
        <f t="shared" si="51"/>
        <v>1.5761999999999998</v>
      </c>
      <c r="I226" s="43"/>
      <c r="J226" s="45"/>
      <c r="K226" s="45"/>
      <c r="L226" s="78"/>
      <c r="M226" s="45"/>
      <c r="N226" s="25"/>
    </row>
    <row r="227" spans="1:14" x14ac:dyDescent="0.25">
      <c r="A227" s="101"/>
      <c r="B227" s="44" t="s">
        <v>222</v>
      </c>
      <c r="C227" s="43">
        <v>317</v>
      </c>
      <c r="D227" s="45"/>
      <c r="E227" s="45">
        <f>2.58*(1.56+1.94)</f>
        <v>9.0300000000000011</v>
      </c>
      <c r="F227" s="43"/>
      <c r="G227" s="45"/>
      <c r="H227" s="45">
        <f t="shared" si="51"/>
        <v>0</v>
      </c>
      <c r="I227" s="43"/>
      <c r="J227" s="45"/>
      <c r="K227" s="45"/>
      <c r="L227" s="78"/>
      <c r="M227" s="45"/>
      <c r="N227" s="25"/>
    </row>
    <row r="228" spans="1:14" x14ac:dyDescent="0.25">
      <c r="A228" s="101"/>
      <c r="B228" s="44" t="s">
        <v>221</v>
      </c>
      <c r="C228" s="43">
        <v>318</v>
      </c>
      <c r="D228" s="45"/>
      <c r="E228" s="45">
        <f>2.58*2.65</f>
        <v>6.8369999999999997</v>
      </c>
      <c r="F228" s="43">
        <v>12</v>
      </c>
      <c r="G228" s="45">
        <f t="shared" si="50"/>
        <v>1.5761999999999998</v>
      </c>
      <c r="H228" s="45">
        <f t="shared" si="51"/>
        <v>18.914399999999997</v>
      </c>
      <c r="I228" s="43"/>
      <c r="J228" s="45"/>
      <c r="K228" s="45"/>
      <c r="L228" s="78"/>
      <c r="M228" s="45"/>
      <c r="N228" s="25"/>
    </row>
    <row r="229" spans="1:14" x14ac:dyDescent="0.25">
      <c r="A229" s="101"/>
      <c r="B229" s="44" t="s">
        <v>209</v>
      </c>
      <c r="C229" s="43">
        <v>319</v>
      </c>
      <c r="D229" s="45"/>
      <c r="E229" s="45">
        <f>2.58*0.97</f>
        <v>2.5026000000000002</v>
      </c>
      <c r="F229" s="43">
        <v>2</v>
      </c>
      <c r="G229" s="45">
        <f t="shared" si="50"/>
        <v>1.5761999999999998</v>
      </c>
      <c r="H229" s="45">
        <f t="shared" si="51"/>
        <v>3.1523999999999996</v>
      </c>
      <c r="I229" s="43"/>
      <c r="J229" s="45"/>
      <c r="K229" s="45"/>
      <c r="L229" s="78"/>
      <c r="M229" s="45"/>
      <c r="N229" s="25"/>
    </row>
    <row r="230" spans="1:14" x14ac:dyDescent="0.25">
      <c r="A230" s="101"/>
      <c r="B230" s="44" t="s">
        <v>226</v>
      </c>
      <c r="C230" s="43">
        <v>320</v>
      </c>
      <c r="D230" s="45"/>
      <c r="E230" s="45">
        <f>2.58*2</f>
        <v>5.16</v>
      </c>
      <c r="F230" s="43">
        <v>6</v>
      </c>
      <c r="G230" s="45">
        <f t="shared" si="50"/>
        <v>1.5761999999999998</v>
      </c>
      <c r="H230" s="45">
        <f t="shared" si="51"/>
        <v>9.4571999999999985</v>
      </c>
      <c r="I230" s="43"/>
      <c r="J230" s="45"/>
      <c r="K230" s="45"/>
      <c r="L230" s="78"/>
      <c r="M230" s="45"/>
      <c r="N230" s="25"/>
    </row>
    <row r="231" spans="1:14" x14ac:dyDescent="0.25">
      <c r="A231" s="101"/>
      <c r="B231" s="44" t="s">
        <v>227</v>
      </c>
      <c r="C231" s="43">
        <v>321</v>
      </c>
      <c r="D231" s="45"/>
      <c r="E231" s="45">
        <f>2.58*(1.5+1.93)</f>
        <v>8.8493999999999993</v>
      </c>
      <c r="F231" s="43"/>
      <c r="G231" s="45">
        <f t="shared" si="50"/>
        <v>1.5761999999999998</v>
      </c>
      <c r="H231" s="45">
        <f t="shared" si="51"/>
        <v>0</v>
      </c>
      <c r="I231" s="43"/>
      <c r="J231" s="45"/>
      <c r="K231" s="45"/>
      <c r="L231" s="78"/>
      <c r="M231" s="45"/>
      <c r="N231" s="25"/>
    </row>
    <row r="232" spans="1:14" x14ac:dyDescent="0.25">
      <c r="A232" s="101"/>
      <c r="B232" s="44" t="s">
        <v>228</v>
      </c>
      <c r="C232" s="43">
        <v>322</v>
      </c>
      <c r="D232" s="45"/>
      <c r="E232" s="45">
        <f>2.58*3.15</f>
        <v>8.1270000000000007</v>
      </c>
      <c r="F232" s="43">
        <v>2</v>
      </c>
      <c r="G232" s="45">
        <f t="shared" si="50"/>
        <v>1.5761999999999998</v>
      </c>
      <c r="H232" s="45">
        <f t="shared" si="51"/>
        <v>3.1523999999999996</v>
      </c>
      <c r="I232" s="43"/>
      <c r="J232" s="45"/>
      <c r="K232" s="45"/>
      <c r="L232" s="78"/>
      <c r="M232" s="45"/>
      <c r="N232" s="25"/>
    </row>
    <row r="233" spans="1:14" x14ac:dyDescent="0.25">
      <c r="A233" s="101"/>
      <c r="B233" s="44" t="s">
        <v>229</v>
      </c>
      <c r="C233" s="43">
        <v>323</v>
      </c>
      <c r="D233" s="45"/>
      <c r="E233" s="45">
        <f>2.58*(1.96+3.62)</f>
        <v>14.3964</v>
      </c>
      <c r="F233" s="43">
        <v>1</v>
      </c>
      <c r="G233" s="45">
        <f t="shared" si="50"/>
        <v>1.5761999999999998</v>
      </c>
      <c r="H233" s="45">
        <f t="shared" si="51"/>
        <v>1.5761999999999998</v>
      </c>
      <c r="I233" s="43"/>
      <c r="J233" s="45"/>
      <c r="K233" s="45"/>
      <c r="L233" s="78"/>
      <c r="M233" s="45"/>
      <c r="N233" s="25"/>
    </row>
    <row r="234" spans="1:14" x14ac:dyDescent="0.25">
      <c r="A234" s="101"/>
      <c r="B234" s="44" t="s">
        <v>230</v>
      </c>
      <c r="C234" s="43">
        <v>325</v>
      </c>
      <c r="D234" s="45"/>
      <c r="E234" s="45">
        <f>2.58*5.3</f>
        <v>13.673999999999999</v>
      </c>
      <c r="F234" s="43">
        <v>14</v>
      </c>
      <c r="G234" s="45">
        <f t="shared" si="50"/>
        <v>1.5761999999999998</v>
      </c>
      <c r="H234" s="45">
        <f t="shared" si="51"/>
        <v>22.066799999999997</v>
      </c>
      <c r="I234" s="43"/>
      <c r="J234" s="45"/>
      <c r="K234" s="45"/>
      <c r="L234" s="78"/>
      <c r="M234" s="45"/>
      <c r="N234" s="25"/>
    </row>
    <row r="235" spans="1:14" ht="15.75" thickBot="1" x14ac:dyDescent="0.3">
      <c r="A235" s="102"/>
      <c r="B235" s="35" t="s">
        <v>229</v>
      </c>
      <c r="C235" s="36">
        <v>326</v>
      </c>
      <c r="D235" s="37"/>
      <c r="E235" s="37">
        <f>2.58*(1.94+1.57)</f>
        <v>9.0557999999999996</v>
      </c>
      <c r="F235" s="36"/>
      <c r="G235" s="37"/>
      <c r="H235" s="37">
        <f t="shared" si="51"/>
        <v>0</v>
      </c>
      <c r="I235" s="36"/>
      <c r="J235" s="37"/>
      <c r="K235" s="37"/>
      <c r="L235" s="80"/>
      <c r="M235" s="37"/>
      <c r="N235" s="39"/>
    </row>
    <row r="236" spans="1:14" x14ac:dyDescent="0.25">
      <c r="A236" s="100" t="s">
        <v>231</v>
      </c>
      <c r="B236" s="59" t="s">
        <v>232</v>
      </c>
      <c r="C236" s="60">
        <v>401</v>
      </c>
      <c r="D236" s="61">
        <f>1.54*2.7</f>
        <v>4.1580000000000004</v>
      </c>
      <c r="E236" s="61"/>
      <c r="F236" s="60">
        <v>2</v>
      </c>
      <c r="G236" s="61">
        <f>0.74*(1.43+0.5)</f>
        <v>1.4281999999999999</v>
      </c>
      <c r="H236" s="61">
        <f t="shared" si="51"/>
        <v>2.8563999999999998</v>
      </c>
      <c r="I236" s="60"/>
      <c r="J236" s="61"/>
      <c r="K236" s="61"/>
      <c r="L236" s="142"/>
      <c r="M236" s="143"/>
      <c r="N236" s="62"/>
    </row>
    <row r="237" spans="1:14" x14ac:dyDescent="0.25">
      <c r="A237" s="101"/>
      <c r="B237" s="44" t="s">
        <v>232</v>
      </c>
      <c r="C237" s="43">
        <v>402</v>
      </c>
      <c r="D237" s="45"/>
      <c r="E237" s="45">
        <f>2.56*(2+0.91)</f>
        <v>7.4496000000000002</v>
      </c>
      <c r="F237" s="43"/>
      <c r="G237" s="45"/>
      <c r="H237" s="45">
        <f t="shared" si="51"/>
        <v>0</v>
      </c>
      <c r="I237" s="43"/>
      <c r="J237" s="45"/>
      <c r="K237" s="45"/>
      <c r="L237" s="78"/>
      <c r="M237" s="45"/>
      <c r="N237" s="25"/>
    </row>
    <row r="238" spans="1:14" x14ac:dyDescent="0.25">
      <c r="A238" s="101"/>
      <c r="B238" s="99" t="s">
        <v>233</v>
      </c>
      <c r="C238" s="98">
        <v>403</v>
      </c>
      <c r="D238" s="97"/>
      <c r="E238" s="97">
        <f>2.56*4.38</f>
        <v>11.2128</v>
      </c>
      <c r="F238" s="43">
        <v>9</v>
      </c>
      <c r="G238" s="45">
        <f t="shared" ref="G238" si="52">0.74*(1.43+0.5)</f>
        <v>1.4281999999999999</v>
      </c>
      <c r="H238" s="45">
        <f t="shared" si="51"/>
        <v>12.8538</v>
      </c>
      <c r="I238" s="43"/>
      <c r="J238" s="45"/>
      <c r="K238" s="45"/>
      <c r="L238" s="78"/>
      <c r="M238" s="45"/>
      <c r="N238" s="25"/>
    </row>
    <row r="239" spans="1:14" x14ac:dyDescent="0.25">
      <c r="A239" s="101"/>
      <c r="B239" s="99"/>
      <c r="C239" s="98"/>
      <c r="D239" s="97"/>
      <c r="E239" s="97"/>
      <c r="F239" s="43">
        <v>1</v>
      </c>
      <c r="G239" s="45">
        <f>0.78*2.06</f>
        <v>1.6068</v>
      </c>
      <c r="H239" s="45">
        <f t="shared" si="51"/>
        <v>1.6068</v>
      </c>
      <c r="I239" s="43"/>
      <c r="J239" s="45"/>
      <c r="K239" s="45"/>
      <c r="L239" s="78"/>
      <c r="M239" s="45"/>
      <c r="N239" s="25"/>
    </row>
    <row r="240" spans="1:14" x14ac:dyDescent="0.25">
      <c r="A240" s="101"/>
      <c r="B240" s="99"/>
      <c r="C240" s="98"/>
      <c r="D240" s="97"/>
      <c r="E240" s="97"/>
      <c r="F240" s="43">
        <v>1</v>
      </c>
      <c r="G240" s="45">
        <f>0.74*(1.43+0.7)</f>
        <v>1.5761999999999998</v>
      </c>
      <c r="H240" s="45">
        <f t="shared" si="51"/>
        <v>1.5761999999999998</v>
      </c>
      <c r="I240" s="43"/>
      <c r="J240" s="45"/>
      <c r="K240" s="45"/>
      <c r="L240" s="78"/>
      <c r="M240" s="45"/>
      <c r="N240" s="25"/>
    </row>
    <row r="241" spans="1:14" x14ac:dyDescent="0.25">
      <c r="A241" s="101"/>
      <c r="B241" s="44" t="s">
        <v>234</v>
      </c>
      <c r="C241" s="43">
        <v>404</v>
      </c>
      <c r="D241" s="45"/>
      <c r="E241" s="45">
        <f>2.56*0.67</f>
        <v>1.7152000000000001</v>
      </c>
      <c r="F241" s="43">
        <v>2</v>
      </c>
      <c r="G241" s="45">
        <f>0.74*(1.43+0.7)</f>
        <v>1.5761999999999998</v>
      </c>
      <c r="H241" s="45">
        <f t="shared" si="51"/>
        <v>3.1523999999999996</v>
      </c>
      <c r="I241" s="43"/>
      <c r="J241" s="45"/>
      <c r="K241" s="45"/>
      <c r="L241" s="78"/>
      <c r="M241" s="45"/>
      <c r="N241" s="25"/>
    </row>
    <row r="242" spans="1:14" x14ac:dyDescent="0.25">
      <c r="A242" s="101"/>
      <c r="B242" s="44" t="s">
        <v>235</v>
      </c>
      <c r="C242" s="43">
        <v>405</v>
      </c>
      <c r="D242" s="45"/>
      <c r="E242" s="45">
        <f>2.56*0.67</f>
        <v>1.7152000000000001</v>
      </c>
      <c r="F242" s="43">
        <v>2</v>
      </c>
      <c r="G242" s="45">
        <f>0.74*(1.43+0.7)</f>
        <v>1.5761999999999998</v>
      </c>
      <c r="H242" s="45">
        <f t="shared" si="51"/>
        <v>3.1523999999999996</v>
      </c>
      <c r="I242" s="43"/>
      <c r="J242" s="45"/>
      <c r="K242" s="45"/>
      <c r="L242" s="78"/>
      <c r="M242" s="45"/>
      <c r="N242" s="25"/>
    </row>
    <row r="243" spans="1:14" x14ac:dyDescent="0.25">
      <c r="A243" s="101"/>
      <c r="B243" s="99" t="s">
        <v>102</v>
      </c>
      <c r="C243" s="98">
        <v>406</v>
      </c>
      <c r="D243" s="97"/>
      <c r="E243" s="97">
        <f>2.56*2.54</f>
        <v>6.5024000000000006</v>
      </c>
      <c r="F243" s="43">
        <v>2</v>
      </c>
      <c r="G243" s="45">
        <f>0.74*(1.43+0.7)</f>
        <v>1.5761999999999998</v>
      </c>
      <c r="H243" s="45">
        <f t="shared" si="51"/>
        <v>3.1523999999999996</v>
      </c>
      <c r="I243" s="43"/>
      <c r="J243" s="45"/>
      <c r="K243" s="45"/>
      <c r="L243" s="78"/>
      <c r="M243" s="45"/>
      <c r="N243" s="25"/>
    </row>
    <row r="244" spans="1:14" x14ac:dyDescent="0.25">
      <c r="A244" s="101"/>
      <c r="B244" s="99"/>
      <c r="C244" s="98"/>
      <c r="D244" s="97"/>
      <c r="E244" s="97"/>
      <c r="F244" s="43">
        <v>1</v>
      </c>
      <c r="G244" s="45">
        <f>0.78*2.25</f>
        <v>1.7550000000000001</v>
      </c>
      <c r="H244" s="45">
        <f t="shared" si="51"/>
        <v>1.7550000000000001</v>
      </c>
      <c r="I244" s="43"/>
      <c r="J244" s="45"/>
      <c r="K244" s="45"/>
      <c r="L244" s="78"/>
      <c r="M244" s="45"/>
      <c r="N244" s="25"/>
    </row>
    <row r="245" spans="1:14" x14ac:dyDescent="0.25">
      <c r="A245" s="101"/>
      <c r="B245" s="44" t="s">
        <v>236</v>
      </c>
      <c r="C245" s="43">
        <v>407</v>
      </c>
      <c r="D245" s="45"/>
      <c r="E245" s="45">
        <f>2.56*0.97</f>
        <v>2.4832000000000001</v>
      </c>
      <c r="F245" s="43">
        <v>2</v>
      </c>
      <c r="G245" s="45">
        <f>0.74*(1.43+0.7)</f>
        <v>1.5761999999999998</v>
      </c>
      <c r="H245" s="45">
        <f t="shared" si="51"/>
        <v>3.1523999999999996</v>
      </c>
      <c r="I245" s="43"/>
      <c r="J245" s="45"/>
      <c r="K245" s="45"/>
      <c r="L245" s="78"/>
      <c r="M245" s="45"/>
      <c r="N245" s="25"/>
    </row>
    <row r="246" spans="1:14" x14ac:dyDescent="0.25">
      <c r="A246" s="101"/>
      <c r="B246" s="44" t="s">
        <v>200</v>
      </c>
      <c r="C246" s="43">
        <v>408</v>
      </c>
      <c r="D246" s="45"/>
      <c r="E246" s="45">
        <f>2.56*0.5</f>
        <v>1.28</v>
      </c>
      <c r="F246" s="43"/>
      <c r="G246" s="45"/>
      <c r="H246" s="45">
        <f t="shared" si="51"/>
        <v>0</v>
      </c>
      <c r="I246" s="43"/>
      <c r="J246" s="45"/>
      <c r="K246" s="45"/>
      <c r="L246" s="78"/>
      <c r="M246" s="45"/>
      <c r="N246" s="112">
        <f>2.35*(1.28+21+1.28)</f>
        <v>55.366000000000007</v>
      </c>
    </row>
    <row r="247" spans="1:14" x14ac:dyDescent="0.25">
      <c r="A247" s="101"/>
      <c r="B247" s="44" t="s">
        <v>237</v>
      </c>
      <c r="C247" s="43">
        <v>409</v>
      </c>
      <c r="D247" s="45"/>
      <c r="E247" s="45">
        <f>2.56*0.7</f>
        <v>1.7919999999999998</v>
      </c>
      <c r="F247" s="43"/>
      <c r="G247" s="45"/>
      <c r="H247" s="45">
        <f t="shared" si="51"/>
        <v>0</v>
      </c>
      <c r="I247" s="43"/>
      <c r="J247" s="45"/>
      <c r="K247" s="45"/>
      <c r="L247" s="78"/>
      <c r="M247" s="45"/>
      <c r="N247" s="112"/>
    </row>
    <row r="248" spans="1:14" x14ac:dyDescent="0.25">
      <c r="A248" s="101"/>
      <c r="B248" s="44" t="s">
        <v>238</v>
      </c>
      <c r="C248" s="43">
        <v>410</v>
      </c>
      <c r="D248" s="45"/>
      <c r="E248" s="45"/>
      <c r="F248" s="43"/>
      <c r="G248" s="45"/>
      <c r="H248" s="45">
        <f t="shared" si="51"/>
        <v>0</v>
      </c>
      <c r="I248" s="43"/>
      <c r="J248" s="45"/>
      <c r="K248" s="45"/>
      <c r="L248" s="78"/>
      <c r="M248" s="45"/>
      <c r="N248" s="112"/>
    </row>
    <row r="249" spans="1:14" x14ac:dyDescent="0.25">
      <c r="A249" s="101"/>
      <c r="B249" s="44" t="s">
        <v>239</v>
      </c>
      <c r="C249" s="43">
        <v>412</v>
      </c>
      <c r="D249" s="45">
        <f>1.54*5</f>
        <v>7.7</v>
      </c>
      <c r="E249" s="45"/>
      <c r="F249" s="43"/>
      <c r="G249" s="45"/>
      <c r="H249" s="45">
        <f t="shared" si="51"/>
        <v>0</v>
      </c>
      <c r="I249" s="43"/>
      <c r="J249" s="45"/>
      <c r="K249" s="45"/>
      <c r="L249" s="78"/>
      <c r="M249" s="45"/>
      <c r="N249" s="112"/>
    </row>
    <row r="250" spans="1:14" x14ac:dyDescent="0.25">
      <c r="A250" s="101"/>
      <c r="B250" s="44" t="s">
        <v>240</v>
      </c>
      <c r="C250" s="43">
        <v>411</v>
      </c>
      <c r="D250" s="45"/>
      <c r="E250" s="45">
        <f>2.56*(1.4+1.9)</f>
        <v>8.4480000000000004</v>
      </c>
      <c r="F250" s="43"/>
      <c r="G250" s="45"/>
      <c r="H250" s="45">
        <f t="shared" si="51"/>
        <v>0</v>
      </c>
      <c r="I250" s="43"/>
      <c r="J250" s="45"/>
      <c r="K250" s="45"/>
      <c r="L250" s="78"/>
      <c r="M250" s="45"/>
      <c r="N250" s="25"/>
    </row>
    <row r="251" spans="1:14" x14ac:dyDescent="0.25">
      <c r="A251" s="101"/>
      <c r="B251" s="44" t="s">
        <v>241</v>
      </c>
      <c r="C251" s="43">
        <v>413</v>
      </c>
      <c r="D251" s="45"/>
      <c r="E251" s="45">
        <f>2.56*(2*2.96)</f>
        <v>15.155200000000001</v>
      </c>
      <c r="F251" s="43">
        <v>7</v>
      </c>
      <c r="G251" s="45">
        <f>0.73*1.43</f>
        <v>1.0438999999999998</v>
      </c>
      <c r="H251" s="45">
        <f t="shared" si="51"/>
        <v>7.3072999999999988</v>
      </c>
      <c r="I251" s="43"/>
      <c r="J251" s="45"/>
      <c r="K251" s="45"/>
      <c r="L251" s="78"/>
      <c r="M251" s="45"/>
      <c r="N251" s="25"/>
    </row>
    <row r="252" spans="1:14" x14ac:dyDescent="0.25">
      <c r="A252" s="101"/>
      <c r="B252" s="44" t="s">
        <v>242</v>
      </c>
      <c r="C252" s="43">
        <v>415</v>
      </c>
      <c r="D252" s="45"/>
      <c r="E252" s="45"/>
      <c r="F252" s="43">
        <v>2</v>
      </c>
      <c r="G252" s="45">
        <f t="shared" ref="G252:G253" si="53">0.73*1.43</f>
        <v>1.0438999999999998</v>
      </c>
      <c r="H252" s="45">
        <f t="shared" si="51"/>
        <v>2.0877999999999997</v>
      </c>
      <c r="I252" s="43"/>
      <c r="J252" s="45"/>
      <c r="K252" s="45"/>
      <c r="L252" s="78"/>
      <c r="M252" s="45"/>
      <c r="N252" s="25"/>
    </row>
    <row r="253" spans="1:14" x14ac:dyDescent="0.25">
      <c r="A253" s="101"/>
      <c r="B253" s="99" t="s">
        <v>243</v>
      </c>
      <c r="C253" s="98">
        <v>416</v>
      </c>
      <c r="D253" s="97"/>
      <c r="E253" s="97"/>
      <c r="F253" s="43">
        <v>3</v>
      </c>
      <c r="G253" s="45">
        <f t="shared" si="53"/>
        <v>1.0438999999999998</v>
      </c>
      <c r="H253" s="45">
        <f t="shared" si="51"/>
        <v>3.1316999999999995</v>
      </c>
      <c r="I253" s="43"/>
      <c r="J253" s="45"/>
      <c r="K253" s="45"/>
      <c r="L253" s="78"/>
      <c r="M253" s="45"/>
      <c r="N253" s="25"/>
    </row>
    <row r="254" spans="1:14" x14ac:dyDescent="0.25">
      <c r="A254" s="101"/>
      <c r="B254" s="99"/>
      <c r="C254" s="98"/>
      <c r="D254" s="97"/>
      <c r="E254" s="97"/>
      <c r="F254" s="43">
        <v>4</v>
      </c>
      <c r="G254" s="45">
        <f t="shared" ref="G254:G267" si="54">0.74*(1.43+0.7)</f>
        <v>1.5761999999999998</v>
      </c>
      <c r="H254" s="45">
        <f t="shared" si="51"/>
        <v>6.3047999999999993</v>
      </c>
      <c r="I254" s="43"/>
      <c r="J254" s="45"/>
      <c r="K254" s="45"/>
      <c r="L254" s="78"/>
      <c r="M254" s="45"/>
      <c r="N254" s="25"/>
    </row>
    <row r="255" spans="1:14" x14ac:dyDescent="0.25">
      <c r="A255" s="101"/>
      <c r="B255" s="99"/>
      <c r="C255" s="98"/>
      <c r="D255" s="97"/>
      <c r="E255" s="97"/>
      <c r="F255" s="43">
        <v>1</v>
      </c>
      <c r="G255" s="45">
        <f>0.78*2.25</f>
        <v>1.7550000000000001</v>
      </c>
      <c r="H255" s="45">
        <f t="shared" si="51"/>
        <v>1.7550000000000001</v>
      </c>
      <c r="I255" s="43"/>
      <c r="J255" s="45"/>
      <c r="K255" s="45"/>
      <c r="L255" s="78"/>
      <c r="M255" s="45"/>
      <c r="N255" s="25"/>
    </row>
    <row r="256" spans="1:14" x14ac:dyDescent="0.25">
      <c r="A256" s="101"/>
      <c r="B256" s="44" t="s">
        <v>243</v>
      </c>
      <c r="C256" s="43">
        <v>417</v>
      </c>
      <c r="D256" s="45"/>
      <c r="E256" s="45">
        <f>2.56*(0.78+0.97)</f>
        <v>4.4800000000000004</v>
      </c>
      <c r="F256" s="43">
        <v>2</v>
      </c>
      <c r="G256" s="45">
        <f t="shared" si="54"/>
        <v>1.5761999999999998</v>
      </c>
      <c r="H256" s="45">
        <f t="shared" si="51"/>
        <v>3.1523999999999996</v>
      </c>
      <c r="I256" s="43"/>
      <c r="J256" s="45"/>
      <c r="K256" s="45"/>
      <c r="L256" s="78"/>
      <c r="M256" s="45"/>
      <c r="N256" s="25"/>
    </row>
    <row r="257" spans="1:14" x14ac:dyDescent="0.25">
      <c r="A257" s="101"/>
      <c r="B257" s="44" t="s">
        <v>243</v>
      </c>
      <c r="C257" s="43">
        <v>418</v>
      </c>
      <c r="D257" s="45"/>
      <c r="E257" s="45">
        <f t="shared" ref="E257:E258" si="55">2.56*(0.78+0.97)</f>
        <v>4.4800000000000004</v>
      </c>
      <c r="F257" s="43">
        <v>3</v>
      </c>
      <c r="G257" s="45">
        <f t="shared" si="54"/>
        <v>1.5761999999999998</v>
      </c>
      <c r="H257" s="45">
        <f t="shared" si="51"/>
        <v>4.7285999999999992</v>
      </c>
      <c r="I257" s="43"/>
      <c r="J257" s="45"/>
      <c r="K257" s="45"/>
      <c r="L257" s="78"/>
      <c r="M257" s="45"/>
      <c r="N257" s="25"/>
    </row>
    <row r="258" spans="1:14" x14ac:dyDescent="0.25">
      <c r="A258" s="101"/>
      <c r="B258" s="44" t="s">
        <v>243</v>
      </c>
      <c r="C258" s="43">
        <v>419</v>
      </c>
      <c r="D258" s="45"/>
      <c r="E258" s="45">
        <f t="shared" si="55"/>
        <v>4.4800000000000004</v>
      </c>
      <c r="F258" s="43">
        <v>2</v>
      </c>
      <c r="G258" s="45">
        <f t="shared" si="54"/>
        <v>1.5761999999999998</v>
      </c>
      <c r="H258" s="45">
        <f t="shared" si="51"/>
        <v>3.1523999999999996</v>
      </c>
      <c r="I258" s="43"/>
      <c r="J258" s="45"/>
      <c r="K258" s="45"/>
      <c r="L258" s="78"/>
      <c r="M258" s="45"/>
      <c r="N258" s="25"/>
    </row>
    <row r="259" spans="1:14" x14ac:dyDescent="0.25">
      <c r="A259" s="101"/>
      <c r="B259" s="44" t="s">
        <v>244</v>
      </c>
      <c r="C259" s="43">
        <v>420</v>
      </c>
      <c r="D259" s="45"/>
      <c r="E259" s="45">
        <f>2.56*0.77</f>
        <v>1.9712000000000001</v>
      </c>
      <c r="F259" s="43">
        <v>2</v>
      </c>
      <c r="G259" s="45">
        <f t="shared" si="54"/>
        <v>1.5761999999999998</v>
      </c>
      <c r="H259" s="45">
        <f t="shared" si="51"/>
        <v>3.1523999999999996</v>
      </c>
      <c r="I259" s="43"/>
      <c r="J259" s="45"/>
      <c r="K259" s="45"/>
      <c r="L259" s="78"/>
      <c r="M259" s="45"/>
      <c r="N259" s="25"/>
    </row>
    <row r="260" spans="1:14" x14ac:dyDescent="0.25">
      <c r="A260" s="101"/>
      <c r="B260" s="44" t="s">
        <v>245</v>
      </c>
      <c r="C260" s="43">
        <v>421</v>
      </c>
      <c r="D260" s="45"/>
      <c r="E260" s="45">
        <f>2.56*0.77</f>
        <v>1.9712000000000001</v>
      </c>
      <c r="F260" s="43">
        <v>2</v>
      </c>
      <c r="G260" s="45">
        <f t="shared" si="54"/>
        <v>1.5761999999999998</v>
      </c>
      <c r="H260" s="45">
        <f t="shared" si="51"/>
        <v>3.1523999999999996</v>
      </c>
      <c r="I260" s="43"/>
      <c r="J260" s="45"/>
      <c r="K260" s="45"/>
      <c r="L260" s="78"/>
      <c r="M260" s="45"/>
      <c r="N260" s="25"/>
    </row>
    <row r="261" spans="1:14" x14ac:dyDescent="0.25">
      <c r="A261" s="101"/>
      <c r="B261" s="99" t="s">
        <v>209</v>
      </c>
      <c r="C261" s="98">
        <v>422</v>
      </c>
      <c r="D261" s="97"/>
      <c r="E261" s="97">
        <f>2.56*0.86</f>
        <v>2.2016</v>
      </c>
      <c r="F261" s="43">
        <v>2</v>
      </c>
      <c r="G261" s="45">
        <f t="shared" si="54"/>
        <v>1.5761999999999998</v>
      </c>
      <c r="H261" s="45">
        <f t="shared" si="51"/>
        <v>3.1523999999999996</v>
      </c>
      <c r="I261" s="43"/>
      <c r="J261" s="45"/>
      <c r="K261" s="45"/>
      <c r="L261" s="78"/>
      <c r="M261" s="45"/>
      <c r="N261" s="25"/>
    </row>
    <row r="262" spans="1:14" x14ac:dyDescent="0.25">
      <c r="A262" s="101"/>
      <c r="B262" s="99"/>
      <c r="C262" s="98"/>
      <c r="D262" s="97"/>
      <c r="E262" s="97"/>
      <c r="F262" s="43">
        <v>1</v>
      </c>
      <c r="G262" s="45">
        <f>0.78*2.25</f>
        <v>1.7550000000000001</v>
      </c>
      <c r="H262" s="45">
        <f t="shared" si="51"/>
        <v>1.7550000000000001</v>
      </c>
      <c r="I262" s="43"/>
      <c r="J262" s="45"/>
      <c r="K262" s="45"/>
      <c r="L262" s="78"/>
      <c r="M262" s="45"/>
      <c r="N262" s="25"/>
    </row>
    <row r="263" spans="1:14" x14ac:dyDescent="0.25">
      <c r="A263" s="101"/>
      <c r="B263" s="44" t="s">
        <v>246</v>
      </c>
      <c r="C263" s="43">
        <v>423</v>
      </c>
      <c r="D263" s="45">
        <f>1.54*(9.7+7.78)</f>
        <v>26.9192</v>
      </c>
      <c r="E263" s="45"/>
      <c r="F263" s="43">
        <v>9</v>
      </c>
      <c r="G263" s="45">
        <f t="shared" si="54"/>
        <v>1.5761999999999998</v>
      </c>
      <c r="H263" s="45">
        <f t="shared" si="51"/>
        <v>14.185799999999999</v>
      </c>
      <c r="I263" s="43"/>
      <c r="J263" s="45"/>
      <c r="K263" s="45"/>
      <c r="L263" s="78"/>
      <c r="M263" s="45"/>
      <c r="N263" s="25"/>
    </row>
    <row r="264" spans="1:14" x14ac:dyDescent="0.25">
      <c r="A264" s="101"/>
      <c r="B264" s="44" t="s">
        <v>247</v>
      </c>
      <c r="C264" s="43">
        <v>424</v>
      </c>
      <c r="D264" s="45">
        <f>1.54*(0.52+3)</f>
        <v>5.4207999999999998</v>
      </c>
      <c r="E264" s="45"/>
      <c r="F264" s="43"/>
      <c r="G264" s="45"/>
      <c r="H264" s="45">
        <f t="shared" si="51"/>
        <v>0</v>
      </c>
      <c r="I264" s="43"/>
      <c r="J264" s="45"/>
      <c r="K264" s="45"/>
      <c r="L264" s="78"/>
      <c r="M264" s="45"/>
      <c r="N264" s="25"/>
    </row>
    <row r="265" spans="1:14" x14ac:dyDescent="0.25">
      <c r="A265" s="101"/>
      <c r="B265" s="44" t="s">
        <v>250</v>
      </c>
      <c r="C265" s="43">
        <v>425</v>
      </c>
      <c r="D265" s="45"/>
      <c r="E265" s="45">
        <f>2.56*0.97</f>
        <v>2.4832000000000001</v>
      </c>
      <c r="F265" s="43">
        <v>2</v>
      </c>
      <c r="G265" s="45">
        <f t="shared" si="54"/>
        <v>1.5761999999999998</v>
      </c>
      <c r="H265" s="45">
        <f t="shared" si="51"/>
        <v>3.1523999999999996</v>
      </c>
      <c r="I265" s="43"/>
      <c r="J265" s="45"/>
      <c r="K265" s="45"/>
      <c r="L265" s="78"/>
      <c r="M265" s="45"/>
      <c r="N265" s="25"/>
    </row>
    <row r="266" spans="1:14" x14ac:dyDescent="0.25">
      <c r="A266" s="101"/>
      <c r="B266" s="44" t="s">
        <v>249</v>
      </c>
      <c r="C266" s="43">
        <v>426</v>
      </c>
      <c r="D266" s="45"/>
      <c r="E266" s="45">
        <f>2.56*(1.6+2)</f>
        <v>9.2160000000000011</v>
      </c>
      <c r="F266" s="43"/>
      <c r="G266" s="45"/>
      <c r="H266" s="45">
        <f t="shared" si="51"/>
        <v>0</v>
      </c>
      <c r="I266" s="43"/>
      <c r="J266" s="45"/>
      <c r="K266" s="45"/>
      <c r="L266" s="78"/>
      <c r="M266" s="45"/>
      <c r="N266" s="25"/>
    </row>
    <row r="267" spans="1:14" x14ac:dyDescent="0.25">
      <c r="A267" s="101"/>
      <c r="B267" s="99" t="s">
        <v>248</v>
      </c>
      <c r="C267" s="98">
        <v>427</v>
      </c>
      <c r="D267" s="97">
        <f t="shared" ref="D267" si="56">1.54*5.2</f>
        <v>8.0080000000000009</v>
      </c>
      <c r="E267" s="97"/>
      <c r="F267" s="43">
        <v>14</v>
      </c>
      <c r="G267" s="45">
        <f t="shared" si="54"/>
        <v>1.5761999999999998</v>
      </c>
      <c r="H267" s="45">
        <f t="shared" si="51"/>
        <v>22.066799999999997</v>
      </c>
      <c r="I267" s="43"/>
      <c r="J267" s="45"/>
      <c r="K267" s="45"/>
      <c r="L267" s="78"/>
      <c r="M267" s="45"/>
      <c r="N267" s="25"/>
    </row>
    <row r="268" spans="1:14" x14ac:dyDescent="0.25">
      <c r="A268" s="101"/>
      <c r="B268" s="99"/>
      <c r="C268" s="98"/>
      <c r="D268" s="97"/>
      <c r="E268" s="97"/>
      <c r="F268" s="43">
        <v>1</v>
      </c>
      <c r="G268" s="45">
        <f>0.78*2.25</f>
        <v>1.7550000000000001</v>
      </c>
      <c r="H268" s="45">
        <f t="shared" si="51"/>
        <v>1.7550000000000001</v>
      </c>
      <c r="I268" s="43"/>
      <c r="J268" s="45"/>
      <c r="K268" s="45"/>
      <c r="L268" s="78"/>
      <c r="M268" s="45"/>
      <c r="N268" s="25"/>
    </row>
    <row r="269" spans="1:14" x14ac:dyDescent="0.25">
      <c r="A269" s="101"/>
      <c r="B269" s="44" t="s">
        <v>251</v>
      </c>
      <c r="C269" s="43">
        <v>428</v>
      </c>
      <c r="D269" s="45"/>
      <c r="E269" s="45">
        <f>2.56*(0.5+0.5+1.88)</f>
        <v>7.3727999999999998</v>
      </c>
      <c r="F269" s="43">
        <v>2</v>
      </c>
      <c r="G269" s="45">
        <f>0.74*(1.43+0.5)</f>
        <v>1.4281999999999999</v>
      </c>
      <c r="H269" s="45">
        <f t="shared" si="51"/>
        <v>2.8563999999999998</v>
      </c>
      <c r="I269" s="43"/>
      <c r="J269" s="45"/>
      <c r="K269" s="45"/>
      <c r="L269" s="78"/>
      <c r="M269" s="45"/>
      <c r="N269" s="25"/>
    </row>
    <row r="270" spans="1:14" ht="15.75" thickBot="1" x14ac:dyDescent="0.3">
      <c r="A270" s="102"/>
      <c r="B270" s="35" t="s">
        <v>252</v>
      </c>
      <c r="C270" s="36">
        <v>434</v>
      </c>
      <c r="D270" s="37"/>
      <c r="E270" s="141">
        <f>2.56*2.7</f>
        <v>6.9120000000000008</v>
      </c>
      <c r="F270" s="36"/>
      <c r="G270" s="37"/>
      <c r="H270" s="37">
        <f t="shared" si="51"/>
        <v>0</v>
      </c>
      <c r="I270" s="36"/>
      <c r="J270" s="37"/>
      <c r="K270" s="37"/>
      <c r="L270" s="80"/>
      <c r="M270" s="37"/>
      <c r="N270" s="39"/>
    </row>
    <row r="271" spans="1:14" x14ac:dyDescent="0.25">
      <c r="A271" s="100" t="s">
        <v>254</v>
      </c>
      <c r="B271" s="109" t="s">
        <v>255</v>
      </c>
      <c r="C271" s="110">
        <v>501</v>
      </c>
      <c r="D271" s="111">
        <f>1.54*2.05</f>
        <v>3.1569999999999996</v>
      </c>
      <c r="E271" s="111"/>
      <c r="F271" s="60">
        <v>10</v>
      </c>
      <c r="G271" s="61">
        <f>0.76*(1.44+0.7)</f>
        <v>1.6263999999999998</v>
      </c>
      <c r="H271" s="61">
        <f t="shared" si="51"/>
        <v>16.263999999999999</v>
      </c>
      <c r="I271" s="60"/>
      <c r="J271" s="61"/>
      <c r="K271" s="61"/>
      <c r="L271" s="142"/>
      <c r="M271" s="143"/>
      <c r="N271" s="62"/>
    </row>
    <row r="272" spans="1:14" x14ac:dyDescent="0.25">
      <c r="A272" s="101"/>
      <c r="B272" s="99"/>
      <c r="C272" s="98"/>
      <c r="D272" s="97"/>
      <c r="E272" s="97"/>
      <c r="F272" s="43">
        <v>1</v>
      </c>
      <c r="G272" s="45">
        <f t="shared" ref="G272" si="57">0.78*2.25</f>
        <v>1.7550000000000001</v>
      </c>
      <c r="H272" s="45">
        <f t="shared" si="51"/>
        <v>1.7550000000000001</v>
      </c>
      <c r="I272" s="43"/>
      <c r="J272" s="45"/>
      <c r="K272" s="45"/>
      <c r="L272" s="144"/>
      <c r="M272" s="139"/>
      <c r="N272" s="25"/>
    </row>
    <row r="273" spans="1:14" x14ac:dyDescent="0.25">
      <c r="A273" s="101"/>
      <c r="B273" s="44" t="s">
        <v>256</v>
      </c>
      <c r="C273" s="43">
        <v>502</v>
      </c>
      <c r="D273" s="45">
        <f>1.54*(1.42+2.65)</f>
        <v>6.2678000000000003</v>
      </c>
      <c r="E273" s="45"/>
      <c r="F273" s="43"/>
      <c r="G273" s="45"/>
      <c r="H273" s="45">
        <f t="shared" si="51"/>
        <v>0</v>
      </c>
      <c r="I273" s="43"/>
      <c r="J273" s="45"/>
      <c r="K273" s="45"/>
      <c r="L273" s="78"/>
      <c r="M273" s="45"/>
      <c r="N273" s="25"/>
    </row>
    <row r="274" spans="1:14" x14ac:dyDescent="0.25">
      <c r="A274" s="101"/>
      <c r="B274" s="44" t="s">
        <v>257</v>
      </c>
      <c r="C274" s="43">
        <v>504</v>
      </c>
      <c r="D274" s="45"/>
      <c r="E274" s="45">
        <f>2.56*2</f>
        <v>5.12</v>
      </c>
      <c r="F274" s="43">
        <v>2</v>
      </c>
      <c r="G274" s="45">
        <f>0.76*(1.44+0.7)</f>
        <v>1.6263999999999998</v>
      </c>
      <c r="H274" s="45">
        <f t="shared" si="51"/>
        <v>3.2527999999999997</v>
      </c>
      <c r="I274" s="43"/>
      <c r="J274" s="45"/>
      <c r="K274" s="45"/>
      <c r="L274" s="78"/>
      <c r="M274" s="45"/>
      <c r="N274" s="25"/>
    </row>
    <row r="275" spans="1:14" x14ac:dyDescent="0.25">
      <c r="A275" s="101"/>
      <c r="B275" s="44" t="s">
        <v>258</v>
      </c>
      <c r="C275" s="43">
        <v>505</v>
      </c>
      <c r="D275" s="45"/>
      <c r="E275" s="45">
        <f>2.56*0.98</f>
        <v>2.5087999999999999</v>
      </c>
      <c r="F275" s="43">
        <v>2</v>
      </c>
      <c r="G275" s="45">
        <f t="shared" ref="G275:G278" si="58">0.76*(1.44+0.7)</f>
        <v>1.6263999999999998</v>
      </c>
      <c r="H275" s="45">
        <f t="shared" si="51"/>
        <v>3.2527999999999997</v>
      </c>
      <c r="I275" s="43"/>
      <c r="J275" s="45"/>
      <c r="K275" s="45"/>
      <c r="L275" s="78"/>
      <c r="M275" s="45"/>
      <c r="N275" s="25"/>
    </row>
    <row r="276" spans="1:14" x14ac:dyDescent="0.25">
      <c r="A276" s="101"/>
      <c r="B276" s="44" t="s">
        <v>259</v>
      </c>
      <c r="C276" s="43">
        <v>506</v>
      </c>
      <c r="D276" s="45"/>
      <c r="E276" s="45">
        <f>2.56*0.3</f>
        <v>0.76800000000000002</v>
      </c>
      <c r="F276" s="43">
        <v>2</v>
      </c>
      <c r="G276" s="45">
        <f t="shared" si="58"/>
        <v>1.6263999999999998</v>
      </c>
      <c r="H276" s="45">
        <f t="shared" si="51"/>
        <v>3.2527999999999997</v>
      </c>
      <c r="I276" s="43"/>
      <c r="J276" s="45"/>
      <c r="K276" s="45"/>
      <c r="L276" s="78"/>
      <c r="M276" s="45"/>
      <c r="N276" s="25"/>
    </row>
    <row r="277" spans="1:14" x14ac:dyDescent="0.25">
      <c r="A277" s="101"/>
      <c r="B277" s="44" t="s">
        <v>260</v>
      </c>
      <c r="C277" s="43">
        <v>507</v>
      </c>
      <c r="D277" s="45"/>
      <c r="E277" s="45">
        <f>2.56*0.68</f>
        <v>1.7408000000000001</v>
      </c>
      <c r="F277" s="43">
        <v>2</v>
      </c>
      <c r="G277" s="45">
        <f t="shared" si="58"/>
        <v>1.6263999999999998</v>
      </c>
      <c r="H277" s="45">
        <f t="shared" si="51"/>
        <v>3.2527999999999997</v>
      </c>
      <c r="I277" s="43"/>
      <c r="J277" s="45"/>
      <c r="K277" s="45"/>
      <c r="L277" s="78"/>
      <c r="M277" s="45"/>
      <c r="N277" s="25"/>
    </row>
    <row r="278" spans="1:14" x14ac:dyDescent="0.25">
      <c r="A278" s="101"/>
      <c r="B278" s="107" t="s">
        <v>261</v>
      </c>
      <c r="C278" s="108">
        <v>508</v>
      </c>
      <c r="D278" s="97"/>
      <c r="E278" s="97">
        <f>2.56*0.69</f>
        <v>1.7664</v>
      </c>
      <c r="F278" s="43">
        <v>4</v>
      </c>
      <c r="G278" s="45">
        <f t="shared" si="58"/>
        <v>1.6263999999999998</v>
      </c>
      <c r="H278" s="45">
        <f t="shared" si="51"/>
        <v>6.5055999999999994</v>
      </c>
      <c r="I278" s="43"/>
      <c r="J278" s="45"/>
      <c r="K278" s="45"/>
      <c r="L278" s="78"/>
      <c r="M278" s="45"/>
      <c r="N278" s="25"/>
    </row>
    <row r="279" spans="1:14" x14ac:dyDescent="0.25">
      <c r="A279" s="101"/>
      <c r="B279" s="107"/>
      <c r="C279" s="108"/>
      <c r="D279" s="97"/>
      <c r="E279" s="97"/>
      <c r="F279" s="43">
        <v>1</v>
      </c>
      <c r="G279" s="45">
        <f t="shared" ref="G279" si="59">0.78*2.25</f>
        <v>1.7550000000000001</v>
      </c>
      <c r="H279" s="45">
        <f t="shared" si="51"/>
        <v>1.7550000000000001</v>
      </c>
      <c r="I279" s="43"/>
      <c r="J279" s="45"/>
      <c r="K279" s="45"/>
      <c r="L279" s="78"/>
      <c r="M279" s="45"/>
      <c r="N279" s="25"/>
    </row>
    <row r="280" spans="1:14" x14ac:dyDescent="0.25">
      <c r="A280" s="101"/>
      <c r="B280" s="44" t="s">
        <v>262</v>
      </c>
      <c r="C280" s="43">
        <v>509</v>
      </c>
      <c r="D280" s="45"/>
      <c r="E280" s="45">
        <f>2.56*3.26</f>
        <v>8.3455999999999992</v>
      </c>
      <c r="F280" s="43"/>
      <c r="G280" s="45"/>
      <c r="H280" s="45">
        <f t="shared" si="51"/>
        <v>0</v>
      </c>
      <c r="I280" s="43"/>
      <c r="J280" s="45"/>
      <c r="K280" s="45"/>
      <c r="L280" s="78"/>
      <c r="M280" s="45"/>
      <c r="N280" s="25"/>
    </row>
    <row r="281" spans="1:14" x14ac:dyDescent="0.25">
      <c r="A281" s="101"/>
      <c r="B281" s="44" t="s">
        <v>102</v>
      </c>
      <c r="C281" s="43">
        <v>510</v>
      </c>
      <c r="D281" s="45"/>
      <c r="E281" s="45">
        <f>2.56*3</f>
        <v>7.68</v>
      </c>
      <c r="F281" s="43">
        <v>2</v>
      </c>
      <c r="G281" s="45">
        <f t="shared" ref="G281:G306" si="60">0.76*(1.44+0.7)</f>
        <v>1.6263999999999998</v>
      </c>
      <c r="H281" s="45">
        <f t="shared" ref="H281:H344" si="61">F281*G281</f>
        <v>3.2527999999999997</v>
      </c>
      <c r="I281" s="43"/>
      <c r="J281" s="45"/>
      <c r="K281" s="45"/>
      <c r="L281" s="78"/>
      <c r="M281" s="45"/>
      <c r="N281" s="25"/>
    </row>
    <row r="282" spans="1:14" x14ac:dyDescent="0.25">
      <c r="A282" s="101"/>
      <c r="B282" s="44" t="s">
        <v>200</v>
      </c>
      <c r="C282" s="43">
        <v>511</v>
      </c>
      <c r="D282" s="45"/>
      <c r="E282" s="45">
        <f>2.56*3.14</f>
        <v>8.0384000000000011</v>
      </c>
      <c r="F282" s="43">
        <v>3</v>
      </c>
      <c r="G282" s="45">
        <f t="shared" si="60"/>
        <v>1.6263999999999998</v>
      </c>
      <c r="H282" s="45">
        <f t="shared" si="61"/>
        <v>4.8791999999999991</v>
      </c>
      <c r="I282" s="43"/>
      <c r="J282" s="45"/>
      <c r="K282" s="45"/>
      <c r="L282" s="78"/>
      <c r="M282" s="45"/>
      <c r="N282" s="25"/>
    </row>
    <row r="283" spans="1:14" x14ac:dyDescent="0.25">
      <c r="A283" s="101"/>
      <c r="B283" s="44" t="s">
        <v>200</v>
      </c>
      <c r="C283" s="43">
        <v>512</v>
      </c>
      <c r="D283" s="45"/>
      <c r="E283" s="45">
        <f>2.56*0.33</f>
        <v>0.84480000000000011</v>
      </c>
      <c r="F283" s="43">
        <v>2</v>
      </c>
      <c r="G283" s="45">
        <f t="shared" si="60"/>
        <v>1.6263999999999998</v>
      </c>
      <c r="H283" s="45">
        <f t="shared" si="61"/>
        <v>3.2527999999999997</v>
      </c>
      <c r="I283" s="43"/>
      <c r="J283" s="45"/>
      <c r="K283" s="45"/>
      <c r="L283" s="78"/>
      <c r="M283" s="45"/>
      <c r="N283" s="25"/>
    </row>
    <row r="284" spans="1:14" x14ac:dyDescent="0.25">
      <c r="A284" s="101"/>
      <c r="B284" s="44" t="s">
        <v>263</v>
      </c>
      <c r="C284" s="43">
        <v>513</v>
      </c>
      <c r="D284" s="45"/>
      <c r="E284" s="45">
        <f>2.56*0.37</f>
        <v>0.94720000000000004</v>
      </c>
      <c r="F284" s="43">
        <v>1</v>
      </c>
      <c r="G284" s="45">
        <f t="shared" si="60"/>
        <v>1.6263999999999998</v>
      </c>
      <c r="H284" s="45">
        <f t="shared" si="61"/>
        <v>1.6263999999999998</v>
      </c>
      <c r="I284" s="43"/>
      <c r="J284" s="45"/>
      <c r="K284" s="45"/>
      <c r="L284" s="78"/>
      <c r="M284" s="45"/>
      <c r="N284" s="25"/>
    </row>
    <row r="285" spans="1:14" x14ac:dyDescent="0.25">
      <c r="A285" s="101"/>
      <c r="B285" s="44" t="s">
        <v>264</v>
      </c>
      <c r="C285" s="43">
        <v>514</v>
      </c>
      <c r="D285" s="45">
        <f>1.54*4.78</f>
        <v>7.3612000000000002</v>
      </c>
      <c r="E285" s="45">
        <f>2.56*(2.64+4)</f>
        <v>16.9984</v>
      </c>
      <c r="F285" s="43">
        <v>2</v>
      </c>
      <c r="G285" s="45">
        <f t="shared" si="60"/>
        <v>1.6263999999999998</v>
      </c>
      <c r="H285" s="45">
        <f t="shared" si="61"/>
        <v>3.2527999999999997</v>
      </c>
      <c r="I285" s="43"/>
      <c r="J285" s="45"/>
      <c r="K285" s="45"/>
      <c r="L285" s="78"/>
      <c r="M285" s="45"/>
      <c r="N285" s="25"/>
    </row>
    <row r="286" spans="1:14" x14ac:dyDescent="0.25">
      <c r="A286" s="101"/>
      <c r="B286" s="44" t="s">
        <v>265</v>
      </c>
      <c r="C286" s="43">
        <v>515</v>
      </c>
      <c r="D286" s="45"/>
      <c r="E286" s="45"/>
      <c r="F286" s="43">
        <v>14</v>
      </c>
      <c r="G286" s="45">
        <f t="shared" si="60"/>
        <v>1.6263999999999998</v>
      </c>
      <c r="H286" s="45">
        <f t="shared" si="61"/>
        <v>22.769599999999997</v>
      </c>
      <c r="I286" s="43"/>
      <c r="J286" s="45"/>
      <c r="K286" s="45"/>
      <c r="L286" s="78"/>
      <c r="M286" s="45"/>
      <c r="N286" s="25"/>
    </row>
    <row r="287" spans="1:14" x14ac:dyDescent="0.25">
      <c r="A287" s="101"/>
      <c r="B287" s="44" t="s">
        <v>266</v>
      </c>
      <c r="C287" s="43">
        <v>516</v>
      </c>
      <c r="D287" s="45"/>
      <c r="E287" s="45">
        <f>2.56*2.5</f>
        <v>6.4</v>
      </c>
      <c r="F287" s="43"/>
      <c r="G287" s="45">
        <f t="shared" si="60"/>
        <v>1.6263999999999998</v>
      </c>
      <c r="H287" s="45">
        <f t="shared" si="61"/>
        <v>0</v>
      </c>
      <c r="I287" s="43"/>
      <c r="J287" s="45"/>
      <c r="K287" s="45"/>
      <c r="L287" s="78"/>
      <c r="M287" s="45"/>
      <c r="N287" s="25"/>
    </row>
    <row r="288" spans="1:14" x14ac:dyDescent="0.25">
      <c r="A288" s="101"/>
      <c r="B288" s="44" t="s">
        <v>267</v>
      </c>
      <c r="C288" s="43">
        <v>517</v>
      </c>
      <c r="D288" s="45"/>
      <c r="E288" s="45">
        <f>2.56*1.49</f>
        <v>3.8144</v>
      </c>
      <c r="F288" s="43"/>
      <c r="G288" s="45">
        <f t="shared" si="60"/>
        <v>1.6263999999999998</v>
      </c>
      <c r="H288" s="45">
        <f t="shared" si="61"/>
        <v>0</v>
      </c>
      <c r="I288" s="43"/>
      <c r="J288" s="45"/>
      <c r="K288" s="45"/>
      <c r="L288" s="78"/>
      <c r="M288" s="45"/>
      <c r="N288" s="25"/>
    </row>
    <row r="289" spans="1:14" x14ac:dyDescent="0.25">
      <c r="A289" s="101"/>
      <c r="B289" s="44" t="s">
        <v>268</v>
      </c>
      <c r="C289" s="43">
        <v>518</v>
      </c>
      <c r="D289" s="45"/>
      <c r="E289" s="45">
        <f>2.56*(0.67+3)</f>
        <v>9.3952000000000009</v>
      </c>
      <c r="F289" s="43"/>
      <c r="G289" s="45">
        <f t="shared" si="60"/>
        <v>1.6263999999999998</v>
      </c>
      <c r="H289" s="45">
        <f t="shared" si="61"/>
        <v>0</v>
      </c>
      <c r="I289" s="43"/>
      <c r="J289" s="45"/>
      <c r="K289" s="45"/>
      <c r="L289" s="78"/>
      <c r="M289" s="45"/>
      <c r="N289" s="25"/>
    </row>
    <row r="290" spans="1:14" x14ac:dyDescent="0.25">
      <c r="A290" s="101"/>
      <c r="B290" s="44" t="s">
        <v>268</v>
      </c>
      <c r="C290" s="43">
        <v>519</v>
      </c>
      <c r="D290" s="45"/>
      <c r="E290" s="45">
        <f>2.56*1.7</f>
        <v>4.3520000000000003</v>
      </c>
      <c r="F290" s="43"/>
      <c r="G290" s="45">
        <f t="shared" si="60"/>
        <v>1.6263999999999998</v>
      </c>
      <c r="H290" s="45">
        <f t="shared" si="61"/>
        <v>0</v>
      </c>
      <c r="I290" s="43"/>
      <c r="J290" s="45"/>
      <c r="K290" s="45"/>
      <c r="L290" s="78"/>
      <c r="M290" s="45"/>
      <c r="N290" s="25"/>
    </row>
    <row r="291" spans="1:14" x14ac:dyDescent="0.25">
      <c r="A291" s="101"/>
      <c r="B291" s="99" t="s">
        <v>270</v>
      </c>
      <c r="C291" s="98">
        <v>520</v>
      </c>
      <c r="D291" s="97">
        <f>1.54*3</f>
        <v>4.62</v>
      </c>
      <c r="E291" s="97">
        <f>2.56*2</f>
        <v>5.12</v>
      </c>
      <c r="F291" s="43">
        <v>1</v>
      </c>
      <c r="G291" s="45">
        <f>0.78*2.25</f>
        <v>1.7550000000000001</v>
      </c>
      <c r="H291" s="45"/>
      <c r="I291" s="43"/>
      <c r="J291" s="45"/>
      <c r="K291" s="45"/>
      <c r="L291" s="78"/>
      <c r="M291" s="45"/>
      <c r="N291" s="25"/>
    </row>
    <row r="292" spans="1:14" x14ac:dyDescent="0.25">
      <c r="A292" s="101"/>
      <c r="B292" s="99"/>
      <c r="C292" s="98"/>
      <c r="D292" s="97"/>
      <c r="E292" s="97"/>
      <c r="F292" s="43">
        <v>2</v>
      </c>
      <c r="G292" s="45">
        <f t="shared" si="60"/>
        <v>1.6263999999999998</v>
      </c>
      <c r="H292" s="45">
        <f t="shared" si="61"/>
        <v>3.2527999999999997</v>
      </c>
      <c r="I292" s="43"/>
      <c r="J292" s="45"/>
      <c r="K292" s="45"/>
      <c r="L292" s="78"/>
      <c r="M292" s="45"/>
      <c r="N292" s="25"/>
    </row>
    <row r="293" spans="1:14" x14ac:dyDescent="0.25">
      <c r="A293" s="101"/>
      <c r="B293" s="44" t="s">
        <v>271</v>
      </c>
      <c r="C293" s="43">
        <v>521</v>
      </c>
      <c r="D293" s="45"/>
      <c r="E293" s="45">
        <f>2.56*(2+0.89)</f>
        <v>7.3984000000000005</v>
      </c>
      <c r="F293" s="43">
        <v>3</v>
      </c>
      <c r="G293" s="45">
        <f t="shared" si="60"/>
        <v>1.6263999999999998</v>
      </c>
      <c r="H293" s="45">
        <f t="shared" si="61"/>
        <v>4.8791999999999991</v>
      </c>
      <c r="I293" s="43"/>
      <c r="J293" s="45"/>
      <c r="K293" s="45"/>
      <c r="L293" s="78"/>
      <c r="M293" s="45"/>
      <c r="N293" s="25"/>
    </row>
    <row r="294" spans="1:14" x14ac:dyDescent="0.25">
      <c r="A294" s="101"/>
      <c r="B294" s="44" t="s">
        <v>269</v>
      </c>
      <c r="C294" s="43">
        <v>522</v>
      </c>
      <c r="D294" s="45"/>
      <c r="E294" s="45">
        <f>2.56*2</f>
        <v>5.12</v>
      </c>
      <c r="F294" s="43">
        <v>2</v>
      </c>
      <c r="G294" s="45">
        <f t="shared" si="60"/>
        <v>1.6263999999999998</v>
      </c>
      <c r="H294" s="45">
        <f t="shared" si="61"/>
        <v>3.2527999999999997</v>
      </c>
      <c r="I294" s="43"/>
      <c r="J294" s="45"/>
      <c r="K294" s="45"/>
      <c r="L294" s="78"/>
      <c r="M294" s="45"/>
      <c r="N294" s="25"/>
    </row>
    <row r="295" spans="1:14" x14ac:dyDescent="0.25">
      <c r="A295" s="101"/>
      <c r="B295" s="44" t="s">
        <v>209</v>
      </c>
      <c r="C295" s="43">
        <v>523</v>
      </c>
      <c r="D295" s="45"/>
      <c r="E295" s="45">
        <f>2.56*1.1</f>
        <v>2.8160000000000003</v>
      </c>
      <c r="F295" s="43">
        <v>1</v>
      </c>
      <c r="G295" s="45">
        <f t="shared" si="60"/>
        <v>1.6263999999999998</v>
      </c>
      <c r="H295" s="45">
        <f t="shared" si="61"/>
        <v>1.6263999999999998</v>
      </c>
      <c r="I295" s="43"/>
      <c r="J295" s="45"/>
      <c r="K295" s="45"/>
      <c r="L295" s="78"/>
      <c r="M295" s="45"/>
      <c r="N295" s="25"/>
    </row>
    <row r="296" spans="1:14" x14ac:dyDescent="0.25">
      <c r="A296" s="101"/>
      <c r="B296" s="99" t="s">
        <v>273</v>
      </c>
      <c r="C296" s="98">
        <v>524</v>
      </c>
      <c r="D296" s="97"/>
      <c r="E296" s="97">
        <f>(2.56*2)+(2.09*2.2)</f>
        <v>9.718</v>
      </c>
      <c r="F296" s="43">
        <v>11</v>
      </c>
      <c r="G296" s="45">
        <f t="shared" si="60"/>
        <v>1.6263999999999998</v>
      </c>
      <c r="H296" s="45">
        <f t="shared" si="61"/>
        <v>17.8904</v>
      </c>
      <c r="I296" s="43"/>
      <c r="J296" s="45"/>
      <c r="K296" s="45"/>
      <c r="L296" s="78"/>
      <c r="M296" s="45"/>
      <c r="N296" s="25"/>
    </row>
    <row r="297" spans="1:14" x14ac:dyDescent="0.25">
      <c r="A297" s="101"/>
      <c r="B297" s="99"/>
      <c r="C297" s="98"/>
      <c r="D297" s="97"/>
      <c r="E297" s="97"/>
      <c r="F297" s="43">
        <v>1</v>
      </c>
      <c r="G297" s="45">
        <f>0.78*2.25</f>
        <v>1.7550000000000001</v>
      </c>
      <c r="H297" s="45">
        <f t="shared" si="61"/>
        <v>1.7550000000000001</v>
      </c>
      <c r="I297" s="43"/>
      <c r="J297" s="45"/>
      <c r="K297" s="45"/>
      <c r="L297" s="78"/>
      <c r="M297" s="45"/>
      <c r="N297" s="25"/>
    </row>
    <row r="298" spans="1:14" x14ac:dyDescent="0.25">
      <c r="A298" s="101"/>
      <c r="B298" s="44" t="s">
        <v>272</v>
      </c>
      <c r="C298" s="43">
        <v>525</v>
      </c>
      <c r="D298" s="45"/>
      <c r="E298" s="45">
        <f>2.56*1.87</f>
        <v>4.7872000000000003</v>
      </c>
      <c r="F298" s="43">
        <v>2</v>
      </c>
      <c r="G298" s="45">
        <f t="shared" si="60"/>
        <v>1.6263999999999998</v>
      </c>
      <c r="H298" s="45">
        <f t="shared" si="61"/>
        <v>3.2527999999999997</v>
      </c>
      <c r="I298" s="43"/>
      <c r="J298" s="45"/>
      <c r="K298" s="45"/>
      <c r="L298" s="78"/>
      <c r="M298" s="45"/>
      <c r="N298" s="25"/>
    </row>
    <row r="299" spans="1:14" x14ac:dyDescent="0.25">
      <c r="A299" s="101"/>
      <c r="B299" s="44" t="s">
        <v>272</v>
      </c>
      <c r="C299" s="43">
        <v>526</v>
      </c>
      <c r="D299" s="45"/>
      <c r="E299" s="45">
        <f>2.56*(1.68+1.6)</f>
        <v>8.3968000000000007</v>
      </c>
      <c r="F299" s="43"/>
      <c r="G299" s="45"/>
      <c r="H299" s="45">
        <f t="shared" si="61"/>
        <v>0</v>
      </c>
      <c r="I299" s="43"/>
      <c r="J299" s="45"/>
      <c r="K299" s="45"/>
      <c r="L299" s="78"/>
      <c r="M299" s="45"/>
      <c r="N299" s="25"/>
    </row>
    <row r="300" spans="1:14" x14ac:dyDescent="0.25">
      <c r="A300" s="101"/>
      <c r="B300" s="44" t="s">
        <v>274</v>
      </c>
      <c r="C300" s="43">
        <v>527</v>
      </c>
      <c r="D300" s="45"/>
      <c r="E300" s="45">
        <f>2.56*(3+0.97)</f>
        <v>10.1632</v>
      </c>
      <c r="F300" s="43">
        <v>2</v>
      </c>
      <c r="G300" s="45">
        <f t="shared" si="60"/>
        <v>1.6263999999999998</v>
      </c>
      <c r="H300" s="45">
        <f t="shared" si="61"/>
        <v>3.2527999999999997</v>
      </c>
      <c r="I300" s="43"/>
      <c r="J300" s="45"/>
      <c r="K300" s="45"/>
      <c r="L300" s="78"/>
      <c r="M300" s="45"/>
      <c r="N300" s="25"/>
    </row>
    <row r="301" spans="1:14" x14ac:dyDescent="0.25">
      <c r="A301" s="101"/>
      <c r="B301" s="44" t="s">
        <v>272</v>
      </c>
      <c r="C301" s="43">
        <v>528</v>
      </c>
      <c r="D301" s="45"/>
      <c r="E301" s="45">
        <f>2.56*2</f>
        <v>5.12</v>
      </c>
      <c r="F301" s="43"/>
      <c r="G301" s="45">
        <f t="shared" si="60"/>
        <v>1.6263999999999998</v>
      </c>
      <c r="H301" s="45">
        <f t="shared" si="61"/>
        <v>0</v>
      </c>
      <c r="I301" s="43"/>
      <c r="J301" s="45"/>
      <c r="K301" s="45"/>
      <c r="L301" s="78"/>
      <c r="M301" s="45"/>
      <c r="N301" s="25"/>
    </row>
    <row r="302" spans="1:14" x14ac:dyDescent="0.25">
      <c r="A302" s="101"/>
      <c r="B302" s="44" t="s">
        <v>275</v>
      </c>
      <c r="C302" s="43">
        <v>530</v>
      </c>
      <c r="D302" s="45"/>
      <c r="E302" s="45">
        <f>2.56*2.05</f>
        <v>5.2479999999999993</v>
      </c>
      <c r="F302" s="43"/>
      <c r="G302" s="45"/>
      <c r="H302" s="45">
        <f t="shared" si="61"/>
        <v>0</v>
      </c>
      <c r="I302" s="43"/>
      <c r="J302" s="45"/>
      <c r="K302" s="45"/>
      <c r="L302" s="78"/>
      <c r="M302" s="45"/>
      <c r="N302" s="25"/>
    </row>
    <row r="303" spans="1:14" x14ac:dyDescent="0.25">
      <c r="A303" s="101"/>
      <c r="B303" s="99" t="s">
        <v>276</v>
      </c>
      <c r="C303" s="98">
        <v>531</v>
      </c>
      <c r="D303" s="97"/>
      <c r="E303" s="97"/>
      <c r="F303" s="43">
        <v>16</v>
      </c>
      <c r="G303" s="45">
        <f t="shared" si="60"/>
        <v>1.6263999999999998</v>
      </c>
      <c r="H303" s="45">
        <f t="shared" si="61"/>
        <v>26.022399999999998</v>
      </c>
      <c r="I303" s="43"/>
      <c r="J303" s="45"/>
      <c r="K303" s="45"/>
      <c r="L303" s="78"/>
      <c r="M303" s="45"/>
      <c r="N303" s="25"/>
    </row>
    <row r="304" spans="1:14" x14ac:dyDescent="0.25">
      <c r="A304" s="101"/>
      <c r="B304" s="99"/>
      <c r="C304" s="98"/>
      <c r="D304" s="97"/>
      <c r="E304" s="97"/>
      <c r="F304" s="43">
        <v>1</v>
      </c>
      <c r="G304" s="45">
        <f>0.78*2.25</f>
        <v>1.7550000000000001</v>
      </c>
      <c r="H304" s="45">
        <f t="shared" si="61"/>
        <v>1.7550000000000001</v>
      </c>
      <c r="I304" s="43"/>
      <c r="J304" s="45"/>
      <c r="K304" s="45"/>
      <c r="L304" s="78"/>
      <c r="M304" s="45"/>
      <c r="N304" s="25"/>
    </row>
    <row r="305" spans="1:14" x14ac:dyDescent="0.25">
      <c r="A305" s="101"/>
      <c r="B305" s="44" t="s">
        <v>275</v>
      </c>
      <c r="C305" s="43">
        <v>532</v>
      </c>
      <c r="D305" s="45"/>
      <c r="E305" s="45">
        <f>2.56*2.2</f>
        <v>5.6320000000000006</v>
      </c>
      <c r="F305" s="43">
        <v>2</v>
      </c>
      <c r="G305" s="45">
        <f t="shared" si="60"/>
        <v>1.6263999999999998</v>
      </c>
      <c r="H305" s="45">
        <f t="shared" si="61"/>
        <v>3.2527999999999997</v>
      </c>
      <c r="I305" s="43"/>
      <c r="J305" s="45"/>
      <c r="K305" s="45"/>
      <c r="L305" s="78"/>
      <c r="M305" s="45"/>
      <c r="N305" s="25"/>
    </row>
    <row r="306" spans="1:14" ht="15.75" thickBot="1" x14ac:dyDescent="0.3">
      <c r="A306" s="102"/>
      <c r="B306" s="35" t="s">
        <v>252</v>
      </c>
      <c r="C306" s="36">
        <v>539</v>
      </c>
      <c r="D306" s="37"/>
      <c r="E306" s="37">
        <f>2.56*0.37</f>
        <v>0.94720000000000004</v>
      </c>
      <c r="F306" s="36"/>
      <c r="G306" s="37">
        <f t="shared" si="60"/>
        <v>1.6263999999999998</v>
      </c>
      <c r="H306" s="37">
        <f t="shared" si="61"/>
        <v>0</v>
      </c>
      <c r="I306" s="36"/>
      <c r="J306" s="37"/>
      <c r="K306" s="37"/>
      <c r="L306" s="80"/>
      <c r="M306" s="37"/>
      <c r="N306" s="39"/>
    </row>
    <row r="307" spans="1:14" x14ac:dyDescent="0.25">
      <c r="A307" s="100" t="s">
        <v>277</v>
      </c>
      <c r="B307" s="59" t="s">
        <v>278</v>
      </c>
      <c r="C307" s="60">
        <v>601</v>
      </c>
      <c r="D307" s="61"/>
      <c r="E307" s="61">
        <f>2.52*0.97</f>
        <v>2.4443999999999999</v>
      </c>
      <c r="F307" s="60">
        <v>4</v>
      </c>
      <c r="G307" s="61">
        <f>1.08*(0.47+1.42+0.56)</f>
        <v>2.6460000000000004</v>
      </c>
      <c r="H307" s="61">
        <f t="shared" si="61"/>
        <v>10.584000000000001</v>
      </c>
      <c r="I307" s="60"/>
      <c r="J307" s="61"/>
      <c r="K307" s="61"/>
      <c r="L307" s="86"/>
      <c r="M307" s="61"/>
      <c r="N307" s="62">
        <f>2.29*5.64</f>
        <v>12.9156</v>
      </c>
    </row>
    <row r="308" spans="1:14" x14ac:dyDescent="0.25">
      <c r="A308" s="101"/>
      <c r="B308" s="44" t="s">
        <v>282</v>
      </c>
      <c r="C308" s="43">
        <v>602</v>
      </c>
      <c r="D308" s="45"/>
      <c r="E308" s="45">
        <f>2.52*0.97</f>
        <v>2.4443999999999999</v>
      </c>
      <c r="F308" s="43"/>
      <c r="G308" s="45"/>
      <c r="H308" s="45">
        <f t="shared" si="61"/>
        <v>0</v>
      </c>
      <c r="I308" s="43"/>
      <c r="J308" s="45"/>
      <c r="K308" s="45"/>
      <c r="L308" s="78"/>
      <c r="M308" s="45"/>
      <c r="N308" s="25"/>
    </row>
    <row r="309" spans="1:14" x14ac:dyDescent="0.25">
      <c r="A309" s="101"/>
      <c r="B309" s="44" t="s">
        <v>281</v>
      </c>
      <c r="C309" s="43">
        <v>603</v>
      </c>
      <c r="D309" s="45"/>
      <c r="E309" s="45"/>
      <c r="F309" s="43">
        <v>2</v>
      </c>
      <c r="G309" s="45">
        <f t="shared" ref="G309:G317" si="62">1.08*(0.47+1.42+0.56)</f>
        <v>2.6460000000000004</v>
      </c>
      <c r="H309" s="45">
        <f t="shared" si="61"/>
        <v>5.2920000000000007</v>
      </c>
      <c r="I309" s="43"/>
      <c r="J309" s="45"/>
      <c r="K309" s="45"/>
      <c r="L309" s="78"/>
      <c r="M309" s="45"/>
      <c r="N309" s="25"/>
    </row>
    <row r="310" spans="1:14" x14ac:dyDescent="0.25">
      <c r="A310" s="101"/>
      <c r="B310" s="44" t="s">
        <v>280</v>
      </c>
      <c r="C310" s="43">
        <v>605</v>
      </c>
      <c r="D310" s="45"/>
      <c r="E310" s="45">
        <f>2.52*0.2</f>
        <v>0.504</v>
      </c>
      <c r="F310" s="43">
        <v>1</v>
      </c>
      <c r="G310" s="45">
        <f t="shared" si="62"/>
        <v>2.6460000000000004</v>
      </c>
      <c r="H310" s="45">
        <f t="shared" si="61"/>
        <v>2.6460000000000004</v>
      </c>
      <c r="I310" s="43"/>
      <c r="J310" s="45"/>
      <c r="K310" s="45"/>
      <c r="L310" s="78"/>
      <c r="M310" s="45"/>
      <c r="N310" s="25"/>
    </row>
    <row r="311" spans="1:14" x14ac:dyDescent="0.25">
      <c r="A311" s="101"/>
      <c r="B311" s="44" t="s">
        <v>102</v>
      </c>
      <c r="C311" s="43">
        <v>606</v>
      </c>
      <c r="D311" s="45"/>
      <c r="E311" s="45">
        <f>(2.52*3.3)</f>
        <v>8.3159999999999989</v>
      </c>
      <c r="F311" s="43">
        <v>2</v>
      </c>
      <c r="G311" s="45">
        <f t="shared" si="62"/>
        <v>2.6460000000000004</v>
      </c>
      <c r="H311" s="45">
        <f t="shared" si="61"/>
        <v>5.2920000000000007</v>
      </c>
      <c r="I311" s="43"/>
      <c r="J311" s="45"/>
      <c r="K311" s="45"/>
      <c r="L311" s="78"/>
      <c r="M311" s="45"/>
      <c r="N311" s="25"/>
    </row>
    <row r="312" spans="1:14" x14ac:dyDescent="0.25">
      <c r="A312" s="101"/>
      <c r="B312" s="44" t="s">
        <v>283</v>
      </c>
      <c r="C312" s="43"/>
      <c r="D312" s="45"/>
      <c r="E312" s="45">
        <f>2.52*(3.36+1.17+2.65+3.36)+(0.76*2.36)</f>
        <v>28.354399999999998</v>
      </c>
      <c r="F312" s="43"/>
      <c r="G312" s="45">
        <f t="shared" si="62"/>
        <v>2.6460000000000004</v>
      </c>
      <c r="H312" s="45">
        <f t="shared" si="61"/>
        <v>0</v>
      </c>
      <c r="I312" s="43"/>
      <c r="J312" s="45"/>
      <c r="K312" s="45"/>
      <c r="L312" s="78"/>
      <c r="M312" s="45"/>
      <c r="N312" s="25"/>
    </row>
    <row r="313" spans="1:14" x14ac:dyDescent="0.25">
      <c r="A313" s="101"/>
      <c r="B313" s="44" t="s">
        <v>200</v>
      </c>
      <c r="C313" s="43">
        <v>607</v>
      </c>
      <c r="D313" s="45"/>
      <c r="E313" s="45">
        <f>2.52*4.4</f>
        <v>11.088000000000001</v>
      </c>
      <c r="F313" s="43">
        <v>2</v>
      </c>
      <c r="G313" s="45">
        <f t="shared" si="62"/>
        <v>2.6460000000000004</v>
      </c>
      <c r="H313" s="45">
        <f t="shared" si="61"/>
        <v>5.2920000000000007</v>
      </c>
      <c r="I313" s="43"/>
      <c r="J313" s="45"/>
      <c r="K313" s="45"/>
      <c r="L313" s="78"/>
      <c r="M313" s="45"/>
      <c r="N313" s="25"/>
    </row>
    <row r="314" spans="1:14" x14ac:dyDescent="0.25">
      <c r="A314" s="101"/>
      <c r="B314" s="44" t="s">
        <v>284</v>
      </c>
      <c r="C314" s="43">
        <v>608</v>
      </c>
      <c r="D314" s="45"/>
      <c r="E314" s="45">
        <f>(2.52*0.98)+(1.2+1)</f>
        <v>4.6696</v>
      </c>
      <c r="F314" s="43">
        <v>2</v>
      </c>
      <c r="G314" s="45">
        <f t="shared" si="62"/>
        <v>2.6460000000000004</v>
      </c>
      <c r="H314" s="45">
        <f t="shared" si="61"/>
        <v>5.2920000000000007</v>
      </c>
      <c r="I314" s="43"/>
      <c r="J314" s="45"/>
      <c r="K314" s="45"/>
      <c r="L314" s="78"/>
      <c r="M314" s="45"/>
      <c r="N314" s="25"/>
    </row>
    <row r="315" spans="1:14" x14ac:dyDescent="0.25">
      <c r="A315" s="101"/>
      <c r="B315" s="44" t="s">
        <v>284</v>
      </c>
      <c r="C315" s="43">
        <v>609</v>
      </c>
      <c r="D315" s="45"/>
      <c r="E315" s="45">
        <f>2.52*0.69</f>
        <v>1.7387999999999999</v>
      </c>
      <c r="F315" s="43">
        <v>1</v>
      </c>
      <c r="G315" s="45">
        <f t="shared" si="62"/>
        <v>2.6460000000000004</v>
      </c>
      <c r="H315" s="45">
        <f t="shared" si="61"/>
        <v>2.6460000000000004</v>
      </c>
      <c r="I315" s="43"/>
      <c r="J315" s="45"/>
      <c r="K315" s="45"/>
      <c r="L315" s="78"/>
      <c r="M315" s="45"/>
      <c r="N315" s="25"/>
    </row>
    <row r="316" spans="1:14" x14ac:dyDescent="0.25">
      <c r="A316" s="101"/>
      <c r="B316" s="44" t="s">
        <v>190</v>
      </c>
      <c r="C316" s="43">
        <v>610</v>
      </c>
      <c r="D316" s="45"/>
      <c r="E316" s="45">
        <f>2.52*(1.94+1.3+2.94)</f>
        <v>15.573599999999999</v>
      </c>
      <c r="F316" s="43"/>
      <c r="G316" s="45">
        <f t="shared" si="62"/>
        <v>2.6460000000000004</v>
      </c>
      <c r="H316" s="45">
        <f t="shared" si="61"/>
        <v>0</v>
      </c>
      <c r="I316" s="43"/>
      <c r="J316" s="45"/>
      <c r="K316" s="45"/>
      <c r="L316" s="78"/>
      <c r="M316" s="45"/>
      <c r="N316" s="25"/>
    </row>
    <row r="317" spans="1:14" x14ac:dyDescent="0.25">
      <c r="A317" s="101"/>
      <c r="B317" s="99" t="s">
        <v>285</v>
      </c>
      <c r="C317" s="98">
        <v>611</v>
      </c>
      <c r="D317" s="97"/>
      <c r="E317" s="97"/>
      <c r="F317" s="43">
        <v>7</v>
      </c>
      <c r="G317" s="45">
        <f t="shared" si="62"/>
        <v>2.6460000000000004</v>
      </c>
      <c r="H317" s="45">
        <f t="shared" si="61"/>
        <v>18.522000000000002</v>
      </c>
      <c r="I317" s="43"/>
      <c r="J317" s="45"/>
      <c r="K317" s="45"/>
      <c r="L317" s="78"/>
      <c r="M317" s="45"/>
      <c r="N317" s="25"/>
    </row>
    <row r="318" spans="1:14" x14ac:dyDescent="0.25">
      <c r="A318" s="101"/>
      <c r="B318" s="99"/>
      <c r="C318" s="98"/>
      <c r="D318" s="97"/>
      <c r="E318" s="97"/>
      <c r="F318" s="43">
        <v>3</v>
      </c>
      <c r="G318" s="45">
        <f>1.08*(1.48+0.56)</f>
        <v>2.2032000000000003</v>
      </c>
      <c r="H318" s="45">
        <f t="shared" si="61"/>
        <v>6.6096000000000004</v>
      </c>
      <c r="I318" s="43"/>
      <c r="J318" s="45"/>
      <c r="K318" s="45"/>
      <c r="L318" s="78"/>
      <c r="M318" s="45"/>
      <c r="N318" s="25"/>
    </row>
    <row r="319" spans="1:14" x14ac:dyDescent="0.25">
      <c r="A319" s="101"/>
      <c r="B319" s="44" t="s">
        <v>218</v>
      </c>
      <c r="C319" s="43">
        <v>612</v>
      </c>
      <c r="D319" s="45"/>
      <c r="E319" s="45">
        <f>2.52*1.94</f>
        <v>4.8887999999999998</v>
      </c>
      <c r="F319" s="43"/>
      <c r="G319" s="45"/>
      <c r="H319" s="45">
        <f t="shared" si="61"/>
        <v>0</v>
      </c>
      <c r="I319" s="43"/>
      <c r="J319" s="45"/>
      <c r="K319" s="45"/>
      <c r="L319" s="78"/>
      <c r="M319" s="45"/>
      <c r="N319" s="25"/>
    </row>
    <row r="320" spans="1:14" x14ac:dyDescent="0.25">
      <c r="A320" s="101"/>
      <c r="B320" s="44" t="s">
        <v>286</v>
      </c>
      <c r="C320" s="43">
        <v>613</v>
      </c>
      <c r="D320" s="45"/>
      <c r="E320" s="45">
        <f>2.52*0.97</f>
        <v>2.4443999999999999</v>
      </c>
      <c r="F320" s="43"/>
      <c r="G320" s="45"/>
      <c r="H320" s="45">
        <f t="shared" si="61"/>
        <v>0</v>
      </c>
      <c r="I320" s="43"/>
      <c r="J320" s="45"/>
      <c r="K320" s="45"/>
      <c r="L320" s="78"/>
      <c r="M320" s="45"/>
      <c r="N320" s="25"/>
    </row>
    <row r="321" spans="1:14" x14ac:dyDescent="0.25">
      <c r="A321" s="101"/>
      <c r="B321" s="44" t="s">
        <v>286</v>
      </c>
      <c r="C321" s="43">
        <v>614</v>
      </c>
      <c r="D321" s="45"/>
      <c r="E321" s="45">
        <f>2.52*2.25</f>
        <v>5.67</v>
      </c>
      <c r="F321" s="43"/>
      <c r="G321" s="45"/>
      <c r="H321" s="45">
        <f t="shared" si="61"/>
        <v>0</v>
      </c>
      <c r="I321" s="43"/>
      <c r="J321" s="45"/>
      <c r="K321" s="45"/>
      <c r="L321" s="78"/>
      <c r="M321" s="45"/>
      <c r="N321" s="25"/>
    </row>
    <row r="322" spans="1:14" x14ac:dyDescent="0.25">
      <c r="A322" s="101"/>
      <c r="B322" s="44" t="s">
        <v>286</v>
      </c>
      <c r="C322" s="43">
        <v>615</v>
      </c>
      <c r="D322" s="45"/>
      <c r="E322" s="45">
        <f>2.52*(2.25+0.71)</f>
        <v>7.4592000000000001</v>
      </c>
      <c r="F322" s="43"/>
      <c r="G322" s="45"/>
      <c r="H322" s="45">
        <f t="shared" si="61"/>
        <v>0</v>
      </c>
      <c r="I322" s="43"/>
      <c r="J322" s="45"/>
      <c r="K322" s="45"/>
      <c r="L322" s="78"/>
      <c r="M322" s="45"/>
      <c r="N322" s="25"/>
    </row>
    <row r="323" spans="1:14" x14ac:dyDescent="0.25">
      <c r="A323" s="101"/>
      <c r="B323" s="44" t="s">
        <v>287</v>
      </c>
      <c r="C323" s="43">
        <v>617</v>
      </c>
      <c r="D323" s="45">
        <f>1.4*4.53</f>
        <v>6.3419999999999996</v>
      </c>
      <c r="E323" s="45">
        <f>2.52*(1.4+1.79)</f>
        <v>8.0388000000000002</v>
      </c>
      <c r="F323" s="43">
        <v>1</v>
      </c>
      <c r="G323" s="45">
        <f t="shared" ref="G323:G324" si="63">1.08*(1.48+0.56)</f>
        <v>2.2032000000000003</v>
      </c>
      <c r="H323" s="45">
        <f t="shared" si="61"/>
        <v>2.2032000000000003</v>
      </c>
      <c r="I323" s="43"/>
      <c r="J323" s="45"/>
      <c r="K323" s="45"/>
      <c r="L323" s="78"/>
      <c r="M323" s="45"/>
      <c r="N323" s="25"/>
    </row>
    <row r="324" spans="1:14" x14ac:dyDescent="0.25">
      <c r="A324" s="101"/>
      <c r="B324" s="99" t="s">
        <v>288</v>
      </c>
      <c r="C324" s="98">
        <v>618</v>
      </c>
      <c r="D324" s="97"/>
      <c r="E324" s="97"/>
      <c r="F324" s="43">
        <v>3</v>
      </c>
      <c r="G324" s="45">
        <f t="shared" si="63"/>
        <v>2.2032000000000003</v>
      </c>
      <c r="H324" s="45">
        <f t="shared" si="61"/>
        <v>6.6096000000000004</v>
      </c>
      <c r="I324" s="43"/>
      <c r="J324" s="45"/>
      <c r="K324" s="45"/>
      <c r="L324" s="78"/>
      <c r="M324" s="45"/>
      <c r="N324" s="25"/>
    </row>
    <row r="325" spans="1:14" x14ac:dyDescent="0.25">
      <c r="A325" s="101"/>
      <c r="B325" s="99"/>
      <c r="C325" s="98"/>
      <c r="D325" s="97"/>
      <c r="E325" s="97"/>
      <c r="F325" s="43">
        <v>5</v>
      </c>
      <c r="G325" s="45">
        <f t="shared" ref="G325:G335" si="64">1.08*(0.47+1.42+0.56)</f>
        <v>2.6460000000000004</v>
      </c>
      <c r="H325" s="45">
        <f t="shared" si="61"/>
        <v>13.230000000000002</v>
      </c>
      <c r="I325" s="43"/>
      <c r="J325" s="45"/>
      <c r="K325" s="45"/>
      <c r="L325" s="78"/>
      <c r="M325" s="45"/>
      <c r="N325" s="25"/>
    </row>
    <row r="326" spans="1:14" x14ac:dyDescent="0.25">
      <c r="A326" s="101"/>
      <c r="B326" s="44" t="s">
        <v>289</v>
      </c>
      <c r="C326" s="43">
        <v>619</v>
      </c>
      <c r="D326" s="45">
        <f>1.56*2.5</f>
        <v>3.9000000000000004</v>
      </c>
      <c r="E326" s="45">
        <f>2.52*3.8</f>
        <v>9.5759999999999987</v>
      </c>
      <c r="F326" s="43">
        <v>3</v>
      </c>
      <c r="G326" s="45">
        <f t="shared" si="64"/>
        <v>2.6460000000000004</v>
      </c>
      <c r="H326" s="45">
        <f t="shared" si="61"/>
        <v>7.9380000000000006</v>
      </c>
      <c r="I326" s="43"/>
      <c r="J326" s="45"/>
      <c r="K326" s="45"/>
      <c r="L326" s="78"/>
      <c r="M326" s="45"/>
      <c r="N326" s="25"/>
    </row>
    <row r="327" spans="1:14" x14ac:dyDescent="0.25">
      <c r="A327" s="101"/>
      <c r="B327" s="44" t="s">
        <v>190</v>
      </c>
      <c r="C327" s="43">
        <v>620</v>
      </c>
      <c r="D327" s="45"/>
      <c r="E327" s="45">
        <f>2.52*1.52</f>
        <v>3.8304</v>
      </c>
      <c r="F327" s="43">
        <v>1</v>
      </c>
      <c r="G327" s="45">
        <f t="shared" si="64"/>
        <v>2.6460000000000004</v>
      </c>
      <c r="H327" s="45">
        <f t="shared" si="61"/>
        <v>2.6460000000000004</v>
      </c>
      <c r="I327" s="43"/>
      <c r="J327" s="45"/>
      <c r="K327" s="45"/>
      <c r="L327" s="78"/>
      <c r="M327" s="45"/>
      <c r="N327" s="25"/>
    </row>
    <row r="328" spans="1:14" x14ac:dyDescent="0.25">
      <c r="A328" s="101"/>
      <c r="B328" s="44" t="s">
        <v>290</v>
      </c>
      <c r="C328" s="43">
        <v>621</v>
      </c>
      <c r="D328" s="45"/>
      <c r="E328" s="45"/>
      <c r="F328" s="43">
        <v>4</v>
      </c>
      <c r="G328" s="45">
        <f t="shared" si="64"/>
        <v>2.6460000000000004</v>
      </c>
      <c r="H328" s="45">
        <f t="shared" si="61"/>
        <v>10.584000000000001</v>
      </c>
      <c r="I328" s="43"/>
      <c r="J328" s="45"/>
      <c r="K328" s="45"/>
      <c r="L328" s="78"/>
      <c r="M328" s="45"/>
      <c r="N328" s="25"/>
    </row>
    <row r="329" spans="1:14" x14ac:dyDescent="0.25">
      <c r="A329" s="101"/>
      <c r="B329" s="44" t="s">
        <v>291</v>
      </c>
      <c r="C329" s="43">
        <v>622</v>
      </c>
      <c r="D329" s="45">
        <f>1.58*(1.6+2.16)</f>
        <v>5.9408000000000003</v>
      </c>
      <c r="E329" s="45"/>
      <c r="F329" s="43">
        <v>1</v>
      </c>
      <c r="G329" s="45">
        <f t="shared" si="64"/>
        <v>2.6460000000000004</v>
      </c>
      <c r="H329" s="45">
        <f t="shared" si="61"/>
        <v>2.6460000000000004</v>
      </c>
      <c r="I329" s="43"/>
      <c r="J329" s="45"/>
      <c r="K329" s="45"/>
      <c r="L329" s="78"/>
      <c r="M329" s="45"/>
      <c r="N329" s="25"/>
    </row>
    <row r="330" spans="1:14" x14ac:dyDescent="0.25">
      <c r="A330" s="101"/>
      <c r="B330" s="44" t="s">
        <v>200</v>
      </c>
      <c r="C330" s="43">
        <v>623</v>
      </c>
      <c r="D330" s="45"/>
      <c r="E330" s="45"/>
      <c r="F330" s="43">
        <v>2</v>
      </c>
      <c r="G330" s="45">
        <f t="shared" si="64"/>
        <v>2.6460000000000004</v>
      </c>
      <c r="H330" s="45">
        <f t="shared" si="61"/>
        <v>5.2920000000000007</v>
      </c>
      <c r="I330" s="43"/>
      <c r="J330" s="45"/>
      <c r="K330" s="45"/>
      <c r="L330" s="78"/>
      <c r="M330" s="45"/>
      <c r="N330" s="25"/>
    </row>
    <row r="331" spans="1:14" x14ac:dyDescent="0.25">
      <c r="A331" s="101"/>
      <c r="B331" s="44" t="s">
        <v>293</v>
      </c>
      <c r="C331" s="43">
        <v>624</v>
      </c>
      <c r="D331" s="45"/>
      <c r="E331" s="45">
        <f>2.52*0.97</f>
        <v>2.4443999999999999</v>
      </c>
      <c r="F331" s="43"/>
      <c r="G331" s="45"/>
      <c r="H331" s="45">
        <f t="shared" si="61"/>
        <v>0</v>
      </c>
      <c r="I331" s="43"/>
      <c r="J331" s="45"/>
      <c r="K331" s="45"/>
      <c r="L331" s="78"/>
      <c r="M331" s="45"/>
      <c r="N331" s="25"/>
    </row>
    <row r="332" spans="1:14" x14ac:dyDescent="0.25">
      <c r="A332" s="101"/>
      <c r="B332" s="44" t="s">
        <v>292</v>
      </c>
      <c r="C332" s="43">
        <v>625</v>
      </c>
      <c r="D332" s="45"/>
      <c r="E332" s="45">
        <f>2.52*4.7</f>
        <v>11.844000000000001</v>
      </c>
      <c r="F332" s="43">
        <v>5</v>
      </c>
      <c r="G332" s="45">
        <f t="shared" si="64"/>
        <v>2.6460000000000004</v>
      </c>
      <c r="H332" s="45">
        <f t="shared" si="61"/>
        <v>13.230000000000002</v>
      </c>
      <c r="I332" s="43"/>
      <c r="J332" s="45"/>
      <c r="K332" s="45"/>
      <c r="L332" s="78"/>
      <c r="M332" s="45"/>
      <c r="N332" s="25"/>
    </row>
    <row r="333" spans="1:14" x14ac:dyDescent="0.25">
      <c r="A333" s="101"/>
      <c r="B333" s="44" t="s">
        <v>294</v>
      </c>
      <c r="C333" s="43">
        <v>626</v>
      </c>
      <c r="D333" s="45"/>
      <c r="E333" s="45">
        <f>2.52*2.65</f>
        <v>6.6779999999999999</v>
      </c>
      <c r="F333" s="43">
        <v>2</v>
      </c>
      <c r="G333" s="45">
        <f t="shared" si="64"/>
        <v>2.6460000000000004</v>
      </c>
      <c r="H333" s="45">
        <f t="shared" si="61"/>
        <v>5.2920000000000007</v>
      </c>
      <c r="I333" s="43"/>
      <c r="J333" s="45"/>
      <c r="K333" s="45"/>
      <c r="L333" s="78"/>
      <c r="M333" s="45"/>
      <c r="N333" s="25">
        <f>2.29*3.59</f>
        <v>8.2210999999999999</v>
      </c>
    </row>
    <row r="334" spans="1:14" x14ac:dyDescent="0.25">
      <c r="A334" s="101"/>
      <c r="B334" s="44" t="s">
        <v>295</v>
      </c>
      <c r="C334" s="43">
        <v>627</v>
      </c>
      <c r="D334" s="45"/>
      <c r="E334" s="45">
        <f>2.52*2.9</f>
        <v>7.3079999999999998</v>
      </c>
      <c r="F334" s="43"/>
      <c r="G334" s="45">
        <f t="shared" si="64"/>
        <v>2.6460000000000004</v>
      </c>
      <c r="H334" s="45">
        <f t="shared" si="61"/>
        <v>0</v>
      </c>
      <c r="I334" s="43"/>
      <c r="J334" s="45"/>
      <c r="K334" s="45"/>
      <c r="L334" s="78"/>
      <c r="M334" s="45"/>
      <c r="N334" s="25">
        <f>2.29*3.9</f>
        <v>8.9309999999999992</v>
      </c>
    </row>
    <row r="335" spans="1:14" ht="15.75" thickBot="1" x14ac:dyDescent="0.3">
      <c r="A335" s="102"/>
      <c r="B335" s="35" t="s">
        <v>296</v>
      </c>
      <c r="C335" s="36">
        <v>628</v>
      </c>
      <c r="D335" s="37"/>
      <c r="E335" s="37">
        <f>2.52*(1.03+3+0.37)</f>
        <v>11.088000000000001</v>
      </c>
      <c r="F335" s="36"/>
      <c r="G335" s="37">
        <f t="shared" si="64"/>
        <v>2.6460000000000004</v>
      </c>
      <c r="H335" s="37">
        <f t="shared" si="61"/>
        <v>0</v>
      </c>
      <c r="I335" s="36"/>
      <c r="J335" s="37"/>
      <c r="K335" s="37"/>
      <c r="L335" s="80"/>
      <c r="M335" s="37"/>
      <c r="N335" s="39">
        <f>2.29*1.92</f>
        <v>4.3967999999999998</v>
      </c>
    </row>
    <row r="336" spans="1:14" x14ac:dyDescent="0.25">
      <c r="A336" s="100" t="s">
        <v>279</v>
      </c>
      <c r="B336" s="59" t="s">
        <v>297</v>
      </c>
      <c r="C336" s="60">
        <v>701</v>
      </c>
      <c r="D336" s="61"/>
      <c r="E336" s="61">
        <f>2.56*0.49</f>
        <v>1.2544</v>
      </c>
      <c r="F336" s="60">
        <v>2</v>
      </c>
      <c r="G336" s="61">
        <f>1.08*(0.48+1.42+0.53)</f>
        <v>2.6244000000000001</v>
      </c>
      <c r="H336" s="61">
        <f t="shared" si="61"/>
        <v>5.2488000000000001</v>
      </c>
      <c r="I336" s="60"/>
      <c r="J336" s="61"/>
      <c r="K336" s="61"/>
      <c r="L336" s="86"/>
      <c r="M336" s="61"/>
      <c r="N336" s="62"/>
    </row>
    <row r="337" spans="1:14" x14ac:dyDescent="0.25">
      <c r="A337" s="101"/>
      <c r="B337" s="44" t="s">
        <v>298</v>
      </c>
      <c r="C337" s="43">
        <v>702</v>
      </c>
      <c r="D337" s="45"/>
      <c r="E337" s="45">
        <f>2.56*0.98</f>
        <v>2.5087999999999999</v>
      </c>
      <c r="F337" s="43">
        <v>2</v>
      </c>
      <c r="G337" s="45">
        <f t="shared" ref="G337:G358" si="65">1.08*(0.48+1.42+0.53)</f>
        <v>2.6244000000000001</v>
      </c>
      <c r="H337" s="45">
        <f t="shared" si="61"/>
        <v>5.2488000000000001</v>
      </c>
      <c r="I337" s="43"/>
      <c r="J337" s="45"/>
      <c r="K337" s="45"/>
      <c r="L337" s="78"/>
      <c r="M337" s="45"/>
      <c r="N337" s="25"/>
    </row>
    <row r="338" spans="1:14" x14ac:dyDescent="0.25">
      <c r="A338" s="101"/>
      <c r="B338" s="44" t="s">
        <v>299</v>
      </c>
      <c r="C338" s="43">
        <v>703</v>
      </c>
      <c r="D338" s="45"/>
      <c r="E338" s="45"/>
      <c r="F338" s="43">
        <v>2</v>
      </c>
      <c r="G338" s="45">
        <f t="shared" si="65"/>
        <v>2.6244000000000001</v>
      </c>
      <c r="H338" s="45">
        <f t="shared" si="61"/>
        <v>5.2488000000000001</v>
      </c>
      <c r="I338" s="43"/>
      <c r="J338" s="45"/>
      <c r="K338" s="45"/>
      <c r="L338" s="78">
        <v>1</v>
      </c>
      <c r="M338" s="45">
        <f>0.75*1.87</f>
        <v>1.4025000000000001</v>
      </c>
      <c r="N338" s="25"/>
    </row>
    <row r="339" spans="1:14" x14ac:dyDescent="0.25">
      <c r="A339" s="101"/>
      <c r="B339" s="44" t="s">
        <v>300</v>
      </c>
      <c r="C339" s="43">
        <v>704</v>
      </c>
      <c r="D339" s="45"/>
      <c r="E339" s="45">
        <f>2.56*0.98</f>
        <v>2.5087999999999999</v>
      </c>
      <c r="F339" s="43">
        <v>3</v>
      </c>
      <c r="G339" s="45">
        <f t="shared" si="65"/>
        <v>2.6244000000000001</v>
      </c>
      <c r="H339" s="45">
        <f t="shared" si="61"/>
        <v>7.8732000000000006</v>
      </c>
      <c r="I339" s="43"/>
      <c r="J339" s="45"/>
      <c r="K339" s="45"/>
      <c r="L339" s="78">
        <v>1</v>
      </c>
      <c r="M339" s="45">
        <f>0.75*1.87</f>
        <v>1.4025000000000001</v>
      </c>
      <c r="N339" s="25"/>
    </row>
    <row r="340" spans="1:14" x14ac:dyDescent="0.25">
      <c r="A340" s="101"/>
      <c r="B340" s="44" t="s">
        <v>301</v>
      </c>
      <c r="C340" s="43">
        <v>706</v>
      </c>
      <c r="D340" s="45"/>
      <c r="E340" s="45">
        <f>2.56*0.98</f>
        <v>2.5087999999999999</v>
      </c>
      <c r="F340" s="43">
        <v>1</v>
      </c>
      <c r="G340" s="45">
        <f t="shared" si="65"/>
        <v>2.6244000000000001</v>
      </c>
      <c r="H340" s="45">
        <f t="shared" si="61"/>
        <v>2.6244000000000001</v>
      </c>
      <c r="I340" s="43"/>
      <c r="J340" s="45"/>
      <c r="K340" s="45"/>
      <c r="L340" s="78"/>
      <c r="M340" s="45"/>
      <c r="N340" s="25"/>
    </row>
    <row r="341" spans="1:14" x14ac:dyDescent="0.25">
      <c r="A341" s="101"/>
      <c r="B341" s="44" t="s">
        <v>102</v>
      </c>
      <c r="C341" s="43">
        <v>707</v>
      </c>
      <c r="D341" s="45"/>
      <c r="E341" s="45">
        <f>2.56*3.67</f>
        <v>9.3952000000000009</v>
      </c>
      <c r="F341" s="43">
        <v>2</v>
      </c>
      <c r="G341" s="45">
        <f t="shared" si="65"/>
        <v>2.6244000000000001</v>
      </c>
      <c r="H341" s="45">
        <f t="shared" si="61"/>
        <v>5.2488000000000001</v>
      </c>
      <c r="I341" s="43"/>
      <c r="J341" s="45"/>
      <c r="K341" s="45"/>
      <c r="L341" s="78"/>
      <c r="M341" s="45"/>
      <c r="N341" s="25"/>
    </row>
    <row r="342" spans="1:14" x14ac:dyDescent="0.25">
      <c r="A342" s="101"/>
      <c r="B342" s="44" t="s">
        <v>302</v>
      </c>
      <c r="C342" s="43">
        <v>708</v>
      </c>
      <c r="D342" s="45"/>
      <c r="E342" s="45">
        <f>2.56*0.97</f>
        <v>2.4832000000000001</v>
      </c>
      <c r="F342" s="43">
        <v>2</v>
      </c>
      <c r="G342" s="45">
        <f t="shared" si="65"/>
        <v>2.6244000000000001</v>
      </c>
      <c r="H342" s="45">
        <f t="shared" si="61"/>
        <v>5.2488000000000001</v>
      </c>
      <c r="I342" s="43"/>
      <c r="J342" s="45"/>
      <c r="K342" s="45"/>
      <c r="L342" s="78"/>
      <c r="M342" s="45"/>
      <c r="N342" s="25"/>
    </row>
    <row r="343" spans="1:14" x14ac:dyDescent="0.25">
      <c r="A343" s="101"/>
      <c r="B343" s="44" t="s">
        <v>209</v>
      </c>
      <c r="C343" s="43">
        <v>709</v>
      </c>
      <c r="D343" s="45"/>
      <c r="E343" s="45">
        <f>2.56*2.57</f>
        <v>6.5792000000000002</v>
      </c>
      <c r="F343" s="43">
        <v>2</v>
      </c>
      <c r="G343" s="45">
        <f t="shared" si="65"/>
        <v>2.6244000000000001</v>
      </c>
      <c r="H343" s="45">
        <f t="shared" si="61"/>
        <v>5.2488000000000001</v>
      </c>
      <c r="I343" s="43"/>
      <c r="J343" s="45"/>
      <c r="K343" s="45"/>
      <c r="L343" s="78"/>
      <c r="M343" s="45"/>
      <c r="N343" s="25"/>
    </row>
    <row r="344" spans="1:14" x14ac:dyDescent="0.25">
      <c r="A344" s="101"/>
      <c r="B344" s="44" t="s">
        <v>303</v>
      </c>
      <c r="C344" s="43">
        <v>711</v>
      </c>
      <c r="D344" s="45"/>
      <c r="E344" s="45">
        <f>2.56*(0.98+4.7)</f>
        <v>14.540799999999999</v>
      </c>
      <c r="F344" s="43">
        <v>5</v>
      </c>
      <c r="G344" s="45">
        <f t="shared" si="65"/>
        <v>2.6244000000000001</v>
      </c>
      <c r="H344" s="45">
        <f t="shared" si="61"/>
        <v>13.122</v>
      </c>
      <c r="I344" s="43"/>
      <c r="J344" s="45"/>
      <c r="K344" s="45"/>
      <c r="L344" s="78"/>
      <c r="M344" s="45"/>
      <c r="N344" s="25"/>
    </row>
    <row r="345" spans="1:14" x14ac:dyDescent="0.25">
      <c r="A345" s="101"/>
      <c r="B345" s="44" t="s">
        <v>304</v>
      </c>
      <c r="C345" s="43">
        <v>712</v>
      </c>
      <c r="D345" s="45"/>
      <c r="E345" s="45"/>
      <c r="F345" s="43">
        <v>1</v>
      </c>
      <c r="G345" s="45">
        <f t="shared" si="65"/>
        <v>2.6244000000000001</v>
      </c>
      <c r="H345" s="45">
        <f t="shared" ref="H345:H358" si="66">F345*G345</f>
        <v>2.6244000000000001</v>
      </c>
      <c r="I345" s="43"/>
      <c r="J345" s="45"/>
      <c r="K345" s="45"/>
      <c r="L345" s="78"/>
      <c r="M345" s="45"/>
      <c r="N345" s="25"/>
    </row>
    <row r="346" spans="1:14" x14ac:dyDescent="0.25">
      <c r="A346" s="101"/>
      <c r="B346" s="44" t="s">
        <v>305</v>
      </c>
      <c r="C346" s="43" t="s">
        <v>311</v>
      </c>
      <c r="D346" s="45"/>
      <c r="E346" s="45"/>
      <c r="F346" s="43">
        <v>4</v>
      </c>
      <c r="G346" s="45">
        <f t="shared" si="65"/>
        <v>2.6244000000000001</v>
      </c>
      <c r="H346" s="45">
        <f t="shared" si="66"/>
        <v>10.4976</v>
      </c>
      <c r="I346" s="43"/>
      <c r="J346" s="45"/>
      <c r="K346" s="45"/>
      <c r="L346" s="78"/>
      <c r="M346" s="45"/>
      <c r="N346" s="25">
        <f>3*15.7</f>
        <v>47.099999999999994</v>
      </c>
    </row>
    <row r="347" spans="1:14" x14ac:dyDescent="0.25">
      <c r="A347" s="101"/>
      <c r="B347" s="44" t="s">
        <v>306</v>
      </c>
      <c r="C347" s="43">
        <v>715</v>
      </c>
      <c r="D347" s="45"/>
      <c r="E347" s="45">
        <f>2.56*2.1</f>
        <v>5.3760000000000003</v>
      </c>
      <c r="F347" s="43">
        <v>5</v>
      </c>
      <c r="G347" s="45">
        <f t="shared" si="65"/>
        <v>2.6244000000000001</v>
      </c>
      <c r="H347" s="45">
        <f t="shared" si="66"/>
        <v>13.122</v>
      </c>
      <c r="I347" s="43"/>
      <c r="J347" s="45"/>
      <c r="K347" s="45"/>
      <c r="L347" s="78"/>
      <c r="M347" s="45"/>
      <c r="N347" s="25"/>
    </row>
    <row r="348" spans="1:14" x14ac:dyDescent="0.25">
      <c r="A348" s="101"/>
      <c r="B348" s="44" t="s">
        <v>190</v>
      </c>
      <c r="C348" s="43">
        <v>716</v>
      </c>
      <c r="D348" s="45">
        <f>1.57*3.18</f>
        <v>4.9926000000000004</v>
      </c>
      <c r="E348" s="45">
        <f>2.56*1.54</f>
        <v>3.9424000000000001</v>
      </c>
      <c r="F348" s="43"/>
      <c r="G348" s="45"/>
      <c r="H348" s="45">
        <f t="shared" si="66"/>
        <v>0</v>
      </c>
      <c r="I348" s="43"/>
      <c r="J348" s="45"/>
      <c r="K348" s="45"/>
      <c r="L348" s="78"/>
      <c r="M348" s="45"/>
      <c r="N348" s="25"/>
    </row>
    <row r="349" spans="1:14" x14ac:dyDescent="0.25">
      <c r="A349" s="101"/>
      <c r="B349" s="44" t="s">
        <v>190</v>
      </c>
      <c r="C349" s="43">
        <v>717</v>
      </c>
      <c r="D349" s="45"/>
      <c r="E349" s="45">
        <f>2.56*1.63</f>
        <v>4.1727999999999996</v>
      </c>
      <c r="F349" s="43">
        <v>1</v>
      </c>
      <c r="G349" s="45">
        <f t="shared" si="65"/>
        <v>2.6244000000000001</v>
      </c>
      <c r="H349" s="45">
        <f t="shared" si="66"/>
        <v>2.6244000000000001</v>
      </c>
      <c r="I349" s="43"/>
      <c r="J349" s="45"/>
      <c r="K349" s="45"/>
      <c r="L349" s="78"/>
      <c r="M349" s="45"/>
      <c r="N349" s="25"/>
    </row>
    <row r="350" spans="1:14" x14ac:dyDescent="0.25">
      <c r="A350" s="101"/>
      <c r="B350" s="44" t="s">
        <v>312</v>
      </c>
      <c r="C350" s="43">
        <v>718</v>
      </c>
      <c r="D350" s="45"/>
      <c r="E350" s="45"/>
      <c r="F350" s="43">
        <v>2</v>
      </c>
      <c r="G350" s="45">
        <f t="shared" si="65"/>
        <v>2.6244000000000001</v>
      </c>
      <c r="H350" s="45">
        <f t="shared" si="66"/>
        <v>5.2488000000000001</v>
      </c>
      <c r="I350" s="43"/>
      <c r="J350" s="45"/>
      <c r="K350" s="45"/>
      <c r="L350" s="78"/>
      <c r="M350" s="45"/>
      <c r="N350" s="25"/>
    </row>
    <row r="351" spans="1:14" x14ac:dyDescent="0.25">
      <c r="A351" s="101"/>
      <c r="B351" s="44" t="s">
        <v>307</v>
      </c>
      <c r="C351" s="43">
        <v>720</v>
      </c>
      <c r="D351" s="45"/>
      <c r="E351" s="45">
        <f>2.56*0.71</f>
        <v>1.8175999999999999</v>
      </c>
      <c r="F351" s="43">
        <v>1</v>
      </c>
      <c r="G351" s="45">
        <f t="shared" si="65"/>
        <v>2.6244000000000001</v>
      </c>
      <c r="H351" s="45">
        <f t="shared" si="66"/>
        <v>2.6244000000000001</v>
      </c>
      <c r="I351" s="43"/>
      <c r="J351" s="45"/>
      <c r="K351" s="45"/>
      <c r="L351" s="78">
        <v>1</v>
      </c>
      <c r="M351" s="45">
        <f>0.75*1.87</f>
        <v>1.4025000000000001</v>
      </c>
      <c r="N351" s="25"/>
    </row>
    <row r="352" spans="1:14" x14ac:dyDescent="0.25">
      <c r="A352" s="101"/>
      <c r="B352" s="44" t="s">
        <v>308</v>
      </c>
      <c r="C352" s="43">
        <v>721</v>
      </c>
      <c r="D352" s="45"/>
      <c r="E352" s="45">
        <f>2.56*0.98</f>
        <v>2.5087999999999999</v>
      </c>
      <c r="F352" s="43">
        <v>3</v>
      </c>
      <c r="G352" s="45">
        <f t="shared" si="65"/>
        <v>2.6244000000000001</v>
      </c>
      <c r="H352" s="45">
        <f t="shared" si="66"/>
        <v>7.8732000000000006</v>
      </c>
      <c r="I352" s="43"/>
      <c r="J352" s="45"/>
      <c r="K352" s="45"/>
      <c r="L352" s="78">
        <v>1</v>
      </c>
      <c r="M352" s="45">
        <f>0.75*1.87</f>
        <v>1.4025000000000001</v>
      </c>
      <c r="N352" s="25"/>
    </row>
    <row r="353" spans="1:14" x14ac:dyDescent="0.25">
      <c r="A353" s="101"/>
      <c r="B353" s="44" t="s">
        <v>309</v>
      </c>
      <c r="C353" s="43">
        <v>722</v>
      </c>
      <c r="D353" s="45"/>
      <c r="E353" s="45">
        <f>2.56*0.98</f>
        <v>2.5087999999999999</v>
      </c>
      <c r="F353" s="43">
        <v>2</v>
      </c>
      <c r="G353" s="45">
        <f t="shared" si="65"/>
        <v>2.6244000000000001</v>
      </c>
      <c r="H353" s="45">
        <f t="shared" si="66"/>
        <v>5.2488000000000001</v>
      </c>
      <c r="I353" s="43"/>
      <c r="J353" s="45"/>
      <c r="K353" s="45"/>
      <c r="L353" s="78"/>
      <c r="M353" s="45"/>
      <c r="N353" s="25"/>
    </row>
    <row r="354" spans="1:14" x14ac:dyDescent="0.25">
      <c r="A354" s="101"/>
      <c r="B354" s="44" t="s">
        <v>200</v>
      </c>
      <c r="C354" s="43">
        <v>723</v>
      </c>
      <c r="D354" s="45"/>
      <c r="E354" s="45">
        <f>2.56*2.24</f>
        <v>5.7344000000000008</v>
      </c>
      <c r="F354" s="43">
        <v>2</v>
      </c>
      <c r="G354" s="45">
        <f t="shared" si="65"/>
        <v>2.6244000000000001</v>
      </c>
      <c r="H354" s="45">
        <f t="shared" si="66"/>
        <v>5.2488000000000001</v>
      </c>
      <c r="I354" s="43"/>
      <c r="J354" s="45"/>
      <c r="K354" s="45"/>
      <c r="L354" s="78"/>
      <c r="M354" s="45"/>
      <c r="N354" s="25"/>
    </row>
    <row r="355" spans="1:14" x14ac:dyDescent="0.25">
      <c r="A355" s="101"/>
      <c r="B355" s="44" t="s">
        <v>190</v>
      </c>
      <c r="C355" s="43">
        <v>724</v>
      </c>
      <c r="D355" s="45"/>
      <c r="E355" s="45">
        <f>2.56*0.98</f>
        <v>2.5087999999999999</v>
      </c>
      <c r="F355" s="43">
        <v>1</v>
      </c>
      <c r="G355" s="45">
        <f t="shared" si="65"/>
        <v>2.6244000000000001</v>
      </c>
      <c r="H355" s="45">
        <f t="shared" si="66"/>
        <v>2.6244000000000001</v>
      </c>
      <c r="I355" s="43"/>
      <c r="J355" s="45"/>
      <c r="K355" s="45"/>
      <c r="L355" s="78"/>
      <c r="M355" s="45"/>
      <c r="N355" s="25"/>
    </row>
    <row r="356" spans="1:14" x14ac:dyDescent="0.25">
      <c r="A356" s="101"/>
      <c r="B356" s="44" t="s">
        <v>190</v>
      </c>
      <c r="C356" s="43">
        <v>725</v>
      </c>
      <c r="D356" s="45"/>
      <c r="E356" s="45">
        <f>2.56*0.41</f>
        <v>1.0495999999999999</v>
      </c>
      <c r="F356" s="43">
        <v>1</v>
      </c>
      <c r="G356" s="45">
        <f t="shared" si="65"/>
        <v>2.6244000000000001</v>
      </c>
      <c r="H356" s="45">
        <f t="shared" si="66"/>
        <v>2.6244000000000001</v>
      </c>
      <c r="I356" s="43"/>
      <c r="J356" s="45"/>
      <c r="K356" s="45"/>
      <c r="L356" s="78"/>
      <c r="M356" s="45"/>
      <c r="N356" s="25"/>
    </row>
    <row r="357" spans="1:14" x14ac:dyDescent="0.25">
      <c r="A357" s="101"/>
      <c r="B357" s="44" t="s">
        <v>310</v>
      </c>
      <c r="C357" s="43">
        <v>726</v>
      </c>
      <c r="D357" s="45"/>
      <c r="E357" s="45">
        <f>2.56*0.93</f>
        <v>2.3808000000000002</v>
      </c>
      <c r="F357" s="43">
        <v>2</v>
      </c>
      <c r="G357" s="45">
        <f t="shared" si="65"/>
        <v>2.6244000000000001</v>
      </c>
      <c r="H357" s="45">
        <f t="shared" si="66"/>
        <v>5.2488000000000001</v>
      </c>
      <c r="I357" s="43"/>
      <c r="J357" s="45"/>
      <c r="K357" s="45"/>
      <c r="L357" s="78"/>
      <c r="M357" s="45"/>
      <c r="N357" s="25"/>
    </row>
    <row r="358" spans="1:14" x14ac:dyDescent="0.25">
      <c r="A358" s="101"/>
      <c r="B358" s="44" t="s">
        <v>313</v>
      </c>
      <c r="C358" s="43">
        <v>727</v>
      </c>
      <c r="D358" s="45"/>
      <c r="E358" s="45">
        <f>2.37*4.8</f>
        <v>11.375999999999999</v>
      </c>
      <c r="F358" s="43"/>
      <c r="G358" s="45">
        <f t="shared" si="65"/>
        <v>2.6244000000000001</v>
      </c>
      <c r="H358" s="45">
        <f t="shared" si="66"/>
        <v>0</v>
      </c>
      <c r="I358" s="43"/>
      <c r="J358" s="45"/>
      <c r="K358" s="45"/>
      <c r="L358" s="78"/>
      <c r="M358" s="45"/>
      <c r="N358" s="25">
        <f>2*15.58</f>
        <v>31.16</v>
      </c>
    </row>
    <row r="359" spans="1:14" ht="15.75" thickBot="1" x14ac:dyDescent="0.3">
      <c r="A359" s="102"/>
      <c r="B359" s="35" t="s">
        <v>252</v>
      </c>
      <c r="C359" s="36">
        <v>734</v>
      </c>
      <c r="D359" s="37"/>
      <c r="E359" s="37">
        <f>2.56*2.4</f>
        <v>6.1440000000000001</v>
      </c>
      <c r="F359" s="36"/>
      <c r="G359" s="37"/>
      <c r="H359" s="37"/>
      <c r="I359" s="36"/>
      <c r="J359" s="37"/>
      <c r="K359" s="37"/>
      <c r="L359" s="80"/>
      <c r="M359" s="37"/>
      <c r="N359" s="39"/>
    </row>
    <row r="360" spans="1:14" x14ac:dyDescent="0.25">
      <c r="A360" s="103" t="s">
        <v>70</v>
      </c>
      <c r="B360" s="104"/>
      <c r="C360" s="104"/>
      <c r="D360" s="70">
        <f>SUM(D6:D359)</f>
        <v>262.24540000000002</v>
      </c>
      <c r="E360" s="70">
        <f t="shared" ref="E360:N360" si="67">SUM(E6:E359)</f>
        <v>1018.2834999999995</v>
      </c>
      <c r="F360" s="75">
        <f t="shared" si="67"/>
        <v>582</v>
      </c>
      <c r="G360" s="70">
        <f t="shared" si="67"/>
        <v>365.32469999999938</v>
      </c>
      <c r="H360" s="70">
        <f t="shared" si="67"/>
        <v>1075.0796999999984</v>
      </c>
      <c r="I360" s="75">
        <f t="shared" si="67"/>
        <v>142</v>
      </c>
      <c r="J360" s="70">
        <f t="shared" si="67"/>
        <v>139.08510000000007</v>
      </c>
      <c r="K360" s="70">
        <f t="shared" si="67"/>
        <v>240.60959999999997</v>
      </c>
      <c r="L360" s="75">
        <f t="shared" si="67"/>
        <v>28</v>
      </c>
      <c r="M360" s="70">
        <f t="shared" si="67"/>
        <v>34.988400000000006</v>
      </c>
      <c r="N360" s="71">
        <f t="shared" si="67"/>
        <v>279.26900000000006</v>
      </c>
    </row>
    <row r="361" spans="1:14" ht="15.75" thickBot="1" x14ac:dyDescent="0.3">
      <c r="A361" s="105" t="s">
        <v>195</v>
      </c>
      <c r="B361" s="106"/>
      <c r="C361" s="106"/>
      <c r="D361" s="73">
        <f>D360*2</f>
        <v>524.49080000000004</v>
      </c>
      <c r="E361" s="73">
        <f t="shared" ref="E361:N361" si="68">E360*2</f>
        <v>2036.5669999999991</v>
      </c>
      <c r="F361" s="73"/>
      <c r="G361" s="73">
        <f t="shared" si="68"/>
        <v>730.64939999999876</v>
      </c>
      <c r="H361" s="73">
        <f t="shared" si="68"/>
        <v>2150.1593999999968</v>
      </c>
      <c r="I361" s="73"/>
      <c r="J361" s="73">
        <f t="shared" si="68"/>
        <v>278.17020000000014</v>
      </c>
      <c r="K361" s="73">
        <f t="shared" si="68"/>
        <v>481.21919999999994</v>
      </c>
      <c r="L361" s="73"/>
      <c r="M361" s="73">
        <f t="shared" si="68"/>
        <v>69.976800000000011</v>
      </c>
      <c r="N361" s="74">
        <f t="shared" si="68"/>
        <v>558.53800000000012</v>
      </c>
    </row>
  </sheetData>
  <mergeCells count="295">
    <mergeCell ref="C145:C146"/>
    <mergeCell ref="C147:C148"/>
    <mergeCell ref="B115:B116"/>
    <mergeCell ref="C115:C116"/>
    <mergeCell ref="D115:D116"/>
    <mergeCell ref="A1:N1"/>
    <mergeCell ref="A2:N2"/>
    <mergeCell ref="M106:M107"/>
    <mergeCell ref="C108:C109"/>
    <mergeCell ref="D108:D109"/>
    <mergeCell ref="E108:E109"/>
    <mergeCell ref="B108:B109"/>
    <mergeCell ref="A12:A150"/>
    <mergeCell ref="E139:E140"/>
    <mergeCell ref="D139:D140"/>
    <mergeCell ref="D141:D142"/>
    <mergeCell ref="D143:D144"/>
    <mergeCell ref="D145:D146"/>
    <mergeCell ref="D147:D148"/>
    <mergeCell ref="E141:E142"/>
    <mergeCell ref="E143:E144"/>
    <mergeCell ref="E145:E146"/>
    <mergeCell ref="E147:E148"/>
    <mergeCell ref="C139:C140"/>
    <mergeCell ref="B139:B140"/>
    <mergeCell ref="B141:B142"/>
    <mergeCell ref="B143:B144"/>
    <mergeCell ref="B145:B146"/>
    <mergeCell ref="B147:B148"/>
    <mergeCell ref="C141:C142"/>
    <mergeCell ref="C143:C144"/>
    <mergeCell ref="D90:D91"/>
    <mergeCell ref="E90:E91"/>
    <mergeCell ref="B92:B93"/>
    <mergeCell ref="C92:C93"/>
    <mergeCell ref="E115:E116"/>
    <mergeCell ref="B106:B107"/>
    <mergeCell ref="C106:C107"/>
    <mergeCell ref="D106:D107"/>
    <mergeCell ref="E106:E107"/>
    <mergeCell ref="C77:C78"/>
    <mergeCell ref="C79:C80"/>
    <mergeCell ref="C81:C82"/>
    <mergeCell ref="C87:C88"/>
    <mergeCell ref="D98:D99"/>
    <mergeCell ref="E98:E99"/>
    <mergeCell ref="M94:M95"/>
    <mergeCell ref="B83:B84"/>
    <mergeCell ref="C83:C84"/>
    <mergeCell ref="E83:E84"/>
    <mergeCell ref="E85:E86"/>
    <mergeCell ref="B94:B95"/>
    <mergeCell ref="B96:B97"/>
    <mergeCell ref="B98:B99"/>
    <mergeCell ref="C94:C95"/>
    <mergeCell ref="D94:D95"/>
    <mergeCell ref="E94:E95"/>
    <mergeCell ref="C96:C97"/>
    <mergeCell ref="D96:D97"/>
    <mergeCell ref="E96:E97"/>
    <mergeCell ref="C98:C99"/>
    <mergeCell ref="E87:E88"/>
    <mergeCell ref="B90:B91"/>
    <mergeCell ref="C90:C91"/>
    <mergeCell ref="B54:B55"/>
    <mergeCell ref="C54:C55"/>
    <mergeCell ref="E54:E55"/>
    <mergeCell ref="D54:D55"/>
    <mergeCell ref="B50:B51"/>
    <mergeCell ref="C50:C51"/>
    <mergeCell ref="B52:B53"/>
    <mergeCell ref="C52:C53"/>
    <mergeCell ref="D92:D93"/>
    <mergeCell ref="E92:E93"/>
    <mergeCell ref="B75:B76"/>
    <mergeCell ref="B73:B74"/>
    <mergeCell ref="E75:E76"/>
    <mergeCell ref="E77:E78"/>
    <mergeCell ref="E79:E80"/>
    <mergeCell ref="E81:E82"/>
    <mergeCell ref="C85:C86"/>
    <mergeCell ref="B85:B86"/>
    <mergeCell ref="B87:B88"/>
    <mergeCell ref="B81:B82"/>
    <mergeCell ref="B79:B80"/>
    <mergeCell ref="B77:B78"/>
    <mergeCell ref="C73:C74"/>
    <mergeCell ref="C75:C76"/>
    <mergeCell ref="D43:D44"/>
    <mergeCell ref="D45:D46"/>
    <mergeCell ref="D48:D49"/>
    <mergeCell ref="M43:M44"/>
    <mergeCell ref="M45:M46"/>
    <mergeCell ref="M48:M49"/>
    <mergeCell ref="E48:E49"/>
    <mergeCell ref="D50:D51"/>
    <mergeCell ref="D52:D53"/>
    <mergeCell ref="E50:E51"/>
    <mergeCell ref="E52:E53"/>
    <mergeCell ref="M50:M51"/>
    <mergeCell ref="M52:M53"/>
    <mergeCell ref="E33:E34"/>
    <mergeCell ref="E35:E36"/>
    <mergeCell ref="E37:E38"/>
    <mergeCell ref="E39:E40"/>
    <mergeCell ref="E41:E42"/>
    <mergeCell ref="M31:M32"/>
    <mergeCell ref="M33:M34"/>
    <mergeCell ref="M35:M36"/>
    <mergeCell ref="M37:M38"/>
    <mergeCell ref="M39:M40"/>
    <mergeCell ref="M41:M42"/>
    <mergeCell ref="E31:E32"/>
    <mergeCell ref="D31:D32"/>
    <mergeCell ref="E43:E44"/>
    <mergeCell ref="E45:E46"/>
    <mergeCell ref="D33:D34"/>
    <mergeCell ref="D35:D36"/>
    <mergeCell ref="B45:B46"/>
    <mergeCell ref="C45:C46"/>
    <mergeCell ref="B48:B49"/>
    <mergeCell ref="C48:C49"/>
    <mergeCell ref="B39:B40"/>
    <mergeCell ref="C39:C40"/>
    <mergeCell ref="B41:B42"/>
    <mergeCell ref="C41:C42"/>
    <mergeCell ref="B43:B44"/>
    <mergeCell ref="C43:C44"/>
    <mergeCell ref="B33:B34"/>
    <mergeCell ref="C33:C34"/>
    <mergeCell ref="B35:B36"/>
    <mergeCell ref="C35:C36"/>
    <mergeCell ref="B37:B38"/>
    <mergeCell ref="C37:C38"/>
    <mergeCell ref="D37:D38"/>
    <mergeCell ref="D39:D40"/>
    <mergeCell ref="D41:D42"/>
    <mergeCell ref="A4:A5"/>
    <mergeCell ref="B4:B5"/>
    <mergeCell ref="C4:C5"/>
    <mergeCell ref="F4:H4"/>
    <mergeCell ref="I4:K4"/>
    <mergeCell ref="B14:B15"/>
    <mergeCell ref="C14:C15"/>
    <mergeCell ref="A6:A10"/>
    <mergeCell ref="C151:C153"/>
    <mergeCell ref="B151:B153"/>
    <mergeCell ref="B23:B24"/>
    <mergeCell ref="C23:C24"/>
    <mergeCell ref="D23:D24"/>
    <mergeCell ref="E23:E24"/>
    <mergeCell ref="B31:B32"/>
    <mergeCell ref="C31:C32"/>
    <mergeCell ref="B16:B17"/>
    <mergeCell ref="C16:C17"/>
    <mergeCell ref="D16:D17"/>
    <mergeCell ref="E16:E17"/>
    <mergeCell ref="B18:B19"/>
    <mergeCell ref="C18:C19"/>
    <mergeCell ref="D18:D19"/>
    <mergeCell ref="E18:E19"/>
    <mergeCell ref="B154:B155"/>
    <mergeCell ref="C154:C155"/>
    <mergeCell ref="E151:E153"/>
    <mergeCell ref="D151:D153"/>
    <mergeCell ref="E154:E155"/>
    <mergeCell ref="D154:D155"/>
    <mergeCell ref="C157:C158"/>
    <mergeCell ref="D157:D158"/>
    <mergeCell ref="E157:E158"/>
    <mergeCell ref="B157:B158"/>
    <mergeCell ref="B159:B160"/>
    <mergeCell ref="C159:C160"/>
    <mergeCell ref="E159:E160"/>
    <mergeCell ref="D159:D160"/>
    <mergeCell ref="B162:B163"/>
    <mergeCell ref="C162:C163"/>
    <mergeCell ref="D162:D163"/>
    <mergeCell ref="E162:E163"/>
    <mergeCell ref="C166:C168"/>
    <mergeCell ref="D166:D168"/>
    <mergeCell ref="E166:E168"/>
    <mergeCell ref="B166:B168"/>
    <mergeCell ref="D171:D173"/>
    <mergeCell ref="C171:C173"/>
    <mergeCell ref="B171:B173"/>
    <mergeCell ref="E174:E175"/>
    <mergeCell ref="D174:D175"/>
    <mergeCell ref="C174:C175"/>
    <mergeCell ref="B174:B175"/>
    <mergeCell ref="B176:B177"/>
    <mergeCell ref="C176:C177"/>
    <mergeCell ref="D176:D177"/>
    <mergeCell ref="E176:E177"/>
    <mergeCell ref="A184:A211"/>
    <mergeCell ref="L4:M4"/>
    <mergeCell ref="L106:L107"/>
    <mergeCell ref="L94:L95"/>
    <mergeCell ref="L52:L53"/>
    <mergeCell ref="L48:L49"/>
    <mergeCell ref="L50:L51"/>
    <mergeCell ref="L45:L46"/>
    <mergeCell ref="L33:L34"/>
    <mergeCell ref="L35:L36"/>
    <mergeCell ref="L37:L38"/>
    <mergeCell ref="L39:L40"/>
    <mergeCell ref="L41:L42"/>
    <mergeCell ref="L43:L44"/>
    <mergeCell ref="B180:B182"/>
    <mergeCell ref="C180:C182"/>
    <mergeCell ref="D180:D182"/>
    <mergeCell ref="E180:E182"/>
    <mergeCell ref="A151:A183"/>
    <mergeCell ref="B58:B59"/>
    <mergeCell ref="C58:C59"/>
    <mergeCell ref="D58:D59"/>
    <mergeCell ref="E58:E59"/>
    <mergeCell ref="E171:E173"/>
    <mergeCell ref="E194:E195"/>
    <mergeCell ref="D194:D195"/>
    <mergeCell ref="C194:C195"/>
    <mergeCell ref="B194:B195"/>
    <mergeCell ref="E196:E198"/>
    <mergeCell ref="D196:D198"/>
    <mergeCell ref="C196:C198"/>
    <mergeCell ref="B196:B198"/>
    <mergeCell ref="B199:B200"/>
    <mergeCell ref="C199:C200"/>
    <mergeCell ref="D199:D200"/>
    <mergeCell ref="E199:E200"/>
    <mergeCell ref="B184:B185"/>
    <mergeCell ref="C184:C185"/>
    <mergeCell ref="D184:D185"/>
    <mergeCell ref="E184:E185"/>
    <mergeCell ref="C187:C188"/>
    <mergeCell ref="D187:D188"/>
    <mergeCell ref="E187:E188"/>
    <mergeCell ref="N190:N192"/>
    <mergeCell ref="B187:B188"/>
    <mergeCell ref="A212:A235"/>
    <mergeCell ref="C238:C240"/>
    <mergeCell ref="D238:D240"/>
    <mergeCell ref="E238:E240"/>
    <mergeCell ref="B238:B240"/>
    <mergeCell ref="E243:E244"/>
    <mergeCell ref="D243:D244"/>
    <mergeCell ref="C243:C244"/>
    <mergeCell ref="B243:B244"/>
    <mergeCell ref="A236:A270"/>
    <mergeCell ref="B271:B272"/>
    <mergeCell ref="C271:C272"/>
    <mergeCell ref="D271:D272"/>
    <mergeCell ref="E271:E272"/>
    <mergeCell ref="N246:N249"/>
    <mergeCell ref="C253:C255"/>
    <mergeCell ref="D253:D255"/>
    <mergeCell ref="E253:E255"/>
    <mergeCell ref="B253:B255"/>
    <mergeCell ref="E261:E262"/>
    <mergeCell ref="D261:D262"/>
    <mergeCell ref="C261:C262"/>
    <mergeCell ref="B261:B262"/>
    <mergeCell ref="E291:E292"/>
    <mergeCell ref="E296:E297"/>
    <mergeCell ref="C296:C297"/>
    <mergeCell ref="B296:B297"/>
    <mergeCell ref="D296:D297"/>
    <mergeCell ref="E267:E268"/>
    <mergeCell ref="D267:D268"/>
    <mergeCell ref="C267:C268"/>
    <mergeCell ref="B267:B268"/>
    <mergeCell ref="E324:E325"/>
    <mergeCell ref="D324:D325"/>
    <mergeCell ref="C324:C325"/>
    <mergeCell ref="B324:B325"/>
    <mergeCell ref="A307:A335"/>
    <mergeCell ref="A336:A359"/>
    <mergeCell ref="A360:C360"/>
    <mergeCell ref="A361:C361"/>
    <mergeCell ref="C303:C304"/>
    <mergeCell ref="D303:D304"/>
    <mergeCell ref="E303:E304"/>
    <mergeCell ref="B303:B304"/>
    <mergeCell ref="A271:A306"/>
    <mergeCell ref="C317:C318"/>
    <mergeCell ref="D317:D318"/>
    <mergeCell ref="E317:E318"/>
    <mergeCell ref="B317:B318"/>
    <mergeCell ref="E278:E279"/>
    <mergeCell ref="B278:B279"/>
    <mergeCell ref="C278:C279"/>
    <mergeCell ref="D278:D279"/>
    <mergeCell ref="B291:B292"/>
    <mergeCell ref="C291:C292"/>
    <mergeCell ref="D291:D29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pane ySplit="4" topLeftCell="A5" activePane="bottomLeft" state="frozen"/>
      <selection pane="bottomLeft" activeCell="Q9" sqref="Q9"/>
    </sheetView>
  </sheetViews>
  <sheetFormatPr baseColWidth="10" defaultRowHeight="15" x14ac:dyDescent="0.25"/>
  <cols>
    <col min="1" max="1" width="10.85546875" style="5"/>
    <col min="2" max="2" width="30.140625" style="6" bestFit="1" customWidth="1"/>
    <col min="3" max="3" width="10.85546875" style="5"/>
    <col min="4" max="5" width="13.7109375" style="42" customWidth="1"/>
    <col min="6" max="6" width="5.7109375" style="5" customWidth="1"/>
    <col min="7" max="7" width="6.28515625" style="42" bestFit="1" customWidth="1"/>
    <col min="8" max="8" width="7.7109375" style="42" bestFit="1" customWidth="1"/>
    <col min="9" max="9" width="7.28515625" style="5" customWidth="1"/>
    <col min="10" max="10" width="7.28515625" style="42" customWidth="1"/>
    <col min="11" max="11" width="6.28515625" style="42" customWidth="1"/>
    <col min="12" max="12" width="6.28515625" style="72" customWidth="1"/>
    <col min="13" max="13" width="9.42578125" style="42" customWidth="1"/>
    <col min="14" max="14" width="13.7109375" style="5" customWidth="1"/>
  </cols>
  <sheetData>
    <row r="1" spans="1:14" ht="28.5" x14ac:dyDescent="0.25">
      <c r="A1" s="138" t="s">
        <v>314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4" ht="18.75" x14ac:dyDescent="0.25">
      <c r="A2" s="145" t="s">
        <v>324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x14ac:dyDescent="0.25">
      <c r="B3" s="9"/>
    </row>
    <row r="4" spans="1:14" s="1" customFormat="1" ht="15.75" thickBot="1" x14ac:dyDescent="0.3">
      <c r="A4" s="5"/>
      <c r="B4" s="6"/>
      <c r="C4" s="5"/>
      <c r="D4" s="42"/>
      <c r="E4" s="42"/>
      <c r="F4" s="5"/>
      <c r="G4" s="42"/>
      <c r="H4" s="42"/>
      <c r="I4" s="5"/>
      <c r="J4" s="42"/>
      <c r="K4" s="42"/>
      <c r="L4" s="72"/>
      <c r="M4" s="42"/>
      <c r="N4" s="5"/>
    </row>
    <row r="5" spans="1:14" ht="30" x14ac:dyDescent="0.25">
      <c r="A5" s="122" t="s">
        <v>0</v>
      </c>
      <c r="B5" s="124" t="s">
        <v>1</v>
      </c>
      <c r="C5" s="124" t="s">
        <v>2</v>
      </c>
      <c r="D5" s="48" t="s">
        <v>15</v>
      </c>
      <c r="E5" s="48" t="s">
        <v>16</v>
      </c>
      <c r="F5" s="124" t="s">
        <v>17</v>
      </c>
      <c r="G5" s="124"/>
      <c r="H5" s="124"/>
      <c r="I5" s="124" t="s">
        <v>18</v>
      </c>
      <c r="J5" s="124"/>
      <c r="K5" s="124"/>
      <c r="L5" s="113" t="s">
        <v>20</v>
      </c>
      <c r="M5" s="113"/>
      <c r="N5" s="23" t="s">
        <v>19</v>
      </c>
    </row>
    <row r="6" spans="1:14" ht="15.75" thickBot="1" x14ac:dyDescent="0.3">
      <c r="A6" s="123"/>
      <c r="B6" s="125"/>
      <c r="C6" s="125"/>
      <c r="D6" s="32" t="s">
        <v>22</v>
      </c>
      <c r="E6" s="32" t="s">
        <v>22</v>
      </c>
      <c r="F6" s="31" t="s">
        <v>21</v>
      </c>
      <c r="G6" s="32" t="s">
        <v>22</v>
      </c>
      <c r="H6" s="32" t="s">
        <v>23</v>
      </c>
      <c r="I6" s="31" t="s">
        <v>21</v>
      </c>
      <c r="J6" s="32" t="s">
        <v>22</v>
      </c>
      <c r="K6" s="32" t="s">
        <v>23</v>
      </c>
      <c r="L6" s="76" t="s">
        <v>21</v>
      </c>
      <c r="M6" s="32" t="s">
        <v>22</v>
      </c>
      <c r="N6" s="33" t="s">
        <v>22</v>
      </c>
    </row>
    <row r="7" spans="1:14" x14ac:dyDescent="0.25">
      <c r="A7" s="100" t="s">
        <v>279</v>
      </c>
      <c r="B7" s="59" t="s">
        <v>297</v>
      </c>
      <c r="C7" s="60">
        <v>701</v>
      </c>
      <c r="D7" s="61"/>
      <c r="E7" s="61">
        <f>2.56*0.49</f>
        <v>1.2544</v>
      </c>
      <c r="F7" s="60">
        <v>2</v>
      </c>
      <c r="G7" s="61">
        <f>1.08*(0.48+1.42+0.53)</f>
        <v>2.6244000000000001</v>
      </c>
      <c r="H7" s="61">
        <f t="shared" ref="H7:H12" si="0">F7*G7</f>
        <v>5.2488000000000001</v>
      </c>
      <c r="I7" s="60"/>
      <c r="J7" s="61"/>
      <c r="K7" s="61"/>
      <c r="L7" s="86"/>
      <c r="M7" s="61"/>
      <c r="N7" s="62"/>
    </row>
    <row r="8" spans="1:14" x14ac:dyDescent="0.25">
      <c r="A8" s="101"/>
      <c r="B8" s="44" t="s">
        <v>298</v>
      </c>
      <c r="C8" s="43">
        <v>702</v>
      </c>
      <c r="D8" s="45"/>
      <c r="E8" s="45">
        <f>2.56*0.98</f>
        <v>2.5087999999999999</v>
      </c>
      <c r="F8" s="43">
        <v>2</v>
      </c>
      <c r="G8" s="45">
        <f t="shared" ref="G8:G29" si="1">1.08*(0.48+1.42+0.53)</f>
        <v>2.6244000000000001</v>
      </c>
      <c r="H8" s="45">
        <f t="shared" si="0"/>
        <v>5.2488000000000001</v>
      </c>
      <c r="I8" s="43"/>
      <c r="J8" s="45"/>
      <c r="K8" s="45"/>
      <c r="L8" s="78"/>
      <c r="M8" s="45"/>
      <c r="N8" s="25"/>
    </row>
    <row r="9" spans="1:14" x14ac:dyDescent="0.25">
      <c r="A9" s="101"/>
      <c r="B9" s="44" t="s">
        <v>299</v>
      </c>
      <c r="C9" s="43">
        <v>703</v>
      </c>
      <c r="D9" s="45"/>
      <c r="E9" s="45"/>
      <c r="F9" s="43">
        <v>2</v>
      </c>
      <c r="G9" s="45">
        <f t="shared" si="1"/>
        <v>2.6244000000000001</v>
      </c>
      <c r="H9" s="45">
        <f t="shared" si="0"/>
        <v>5.2488000000000001</v>
      </c>
      <c r="I9" s="43"/>
      <c r="J9" s="45"/>
      <c r="K9" s="45"/>
      <c r="L9" s="78">
        <v>1</v>
      </c>
      <c r="M9" s="45">
        <f>0.75*1.87</f>
        <v>1.4025000000000001</v>
      </c>
      <c r="N9" s="25"/>
    </row>
    <row r="10" spans="1:14" x14ac:dyDescent="0.25">
      <c r="A10" s="101"/>
      <c r="B10" s="44" t="s">
        <v>300</v>
      </c>
      <c r="C10" s="43">
        <v>704</v>
      </c>
      <c r="D10" s="45"/>
      <c r="E10" s="45">
        <f>2.56*0.98</f>
        <v>2.5087999999999999</v>
      </c>
      <c r="F10" s="43">
        <v>3</v>
      </c>
      <c r="G10" s="45">
        <f t="shared" si="1"/>
        <v>2.6244000000000001</v>
      </c>
      <c r="H10" s="45">
        <f t="shared" si="0"/>
        <v>7.8732000000000006</v>
      </c>
      <c r="I10" s="43"/>
      <c r="J10" s="45"/>
      <c r="K10" s="45"/>
      <c r="L10" s="78">
        <v>1</v>
      </c>
      <c r="M10" s="45">
        <f>0.75*1.87</f>
        <v>1.4025000000000001</v>
      </c>
      <c r="N10" s="25"/>
    </row>
    <row r="11" spans="1:14" x14ac:dyDescent="0.25">
      <c r="A11" s="101"/>
      <c r="B11" s="44" t="s">
        <v>301</v>
      </c>
      <c r="C11" s="43">
        <v>706</v>
      </c>
      <c r="D11" s="45"/>
      <c r="E11" s="45">
        <f>2.56*0.98</f>
        <v>2.5087999999999999</v>
      </c>
      <c r="F11" s="43">
        <v>1</v>
      </c>
      <c r="G11" s="45">
        <f t="shared" si="1"/>
        <v>2.6244000000000001</v>
      </c>
      <c r="H11" s="45">
        <f t="shared" si="0"/>
        <v>2.6244000000000001</v>
      </c>
      <c r="I11" s="43"/>
      <c r="J11" s="45"/>
      <c r="K11" s="45"/>
      <c r="L11" s="78"/>
      <c r="M11" s="45"/>
      <c r="N11" s="25"/>
    </row>
    <row r="12" spans="1:14" x14ac:dyDescent="0.25">
      <c r="A12" s="101"/>
      <c r="B12" s="44" t="s">
        <v>102</v>
      </c>
      <c r="C12" s="43">
        <v>707</v>
      </c>
      <c r="D12" s="45"/>
      <c r="E12" s="45">
        <f>2.56*3.67</f>
        <v>9.3952000000000009</v>
      </c>
      <c r="F12" s="43">
        <v>2</v>
      </c>
      <c r="G12" s="45">
        <f t="shared" si="1"/>
        <v>2.6244000000000001</v>
      </c>
      <c r="H12" s="45">
        <f t="shared" si="0"/>
        <v>5.2488000000000001</v>
      </c>
      <c r="I12" s="43"/>
      <c r="J12" s="45"/>
      <c r="K12" s="45"/>
      <c r="L12" s="78"/>
      <c r="M12" s="45"/>
      <c r="N12" s="25"/>
    </row>
    <row r="13" spans="1:14" x14ac:dyDescent="0.25">
      <c r="A13" s="101"/>
      <c r="B13" s="44" t="s">
        <v>302</v>
      </c>
      <c r="C13" s="43">
        <v>708</v>
      </c>
      <c r="D13" s="45"/>
      <c r="E13" s="45">
        <f>2.56*0.97</f>
        <v>2.4832000000000001</v>
      </c>
      <c r="F13" s="43">
        <v>2</v>
      </c>
      <c r="G13" s="45">
        <f t="shared" si="1"/>
        <v>2.6244000000000001</v>
      </c>
      <c r="H13" s="45">
        <f t="shared" ref="H13:H29" si="2">F13*G13</f>
        <v>5.2488000000000001</v>
      </c>
      <c r="I13" s="43"/>
      <c r="J13" s="45"/>
      <c r="K13" s="45"/>
      <c r="L13" s="78"/>
      <c r="M13" s="45"/>
      <c r="N13" s="25"/>
    </row>
    <row r="14" spans="1:14" x14ac:dyDescent="0.25">
      <c r="A14" s="101"/>
      <c r="B14" s="44" t="s">
        <v>209</v>
      </c>
      <c r="C14" s="43">
        <v>709</v>
      </c>
      <c r="D14" s="45"/>
      <c r="E14" s="45">
        <f>2.56*2.57</f>
        <v>6.5792000000000002</v>
      </c>
      <c r="F14" s="43">
        <v>2</v>
      </c>
      <c r="G14" s="45">
        <f t="shared" si="1"/>
        <v>2.6244000000000001</v>
      </c>
      <c r="H14" s="45">
        <f t="shared" si="2"/>
        <v>5.2488000000000001</v>
      </c>
      <c r="I14" s="43"/>
      <c r="J14" s="45"/>
      <c r="K14" s="45"/>
      <c r="L14" s="78"/>
      <c r="M14" s="45"/>
      <c r="N14" s="25"/>
    </row>
    <row r="15" spans="1:14" x14ac:dyDescent="0.25">
      <c r="A15" s="101"/>
      <c r="B15" s="44" t="s">
        <v>303</v>
      </c>
      <c r="C15" s="43">
        <v>711</v>
      </c>
      <c r="D15" s="45"/>
      <c r="E15" s="45">
        <f>2.56*(0.98+4.7)</f>
        <v>14.540799999999999</v>
      </c>
      <c r="F15" s="43">
        <v>5</v>
      </c>
      <c r="G15" s="45">
        <f t="shared" si="1"/>
        <v>2.6244000000000001</v>
      </c>
      <c r="H15" s="45">
        <f t="shared" si="2"/>
        <v>13.122</v>
      </c>
      <c r="I15" s="43"/>
      <c r="J15" s="45"/>
      <c r="K15" s="45"/>
      <c r="L15" s="78"/>
      <c r="M15" s="45"/>
      <c r="N15" s="25"/>
    </row>
    <row r="16" spans="1:14" x14ac:dyDescent="0.25">
      <c r="A16" s="101"/>
      <c r="B16" s="44" t="s">
        <v>304</v>
      </c>
      <c r="C16" s="43">
        <v>712</v>
      </c>
      <c r="D16" s="45"/>
      <c r="E16" s="45"/>
      <c r="F16" s="43">
        <v>1</v>
      </c>
      <c r="G16" s="45">
        <f t="shared" si="1"/>
        <v>2.6244000000000001</v>
      </c>
      <c r="H16" s="45">
        <f t="shared" si="2"/>
        <v>2.6244000000000001</v>
      </c>
      <c r="I16" s="43"/>
      <c r="J16" s="45"/>
      <c r="K16" s="45"/>
      <c r="L16" s="78"/>
      <c r="M16" s="45"/>
      <c r="N16" s="25"/>
    </row>
    <row r="17" spans="1:14" x14ac:dyDescent="0.25">
      <c r="A17" s="101"/>
      <c r="B17" s="44" t="s">
        <v>305</v>
      </c>
      <c r="C17" s="43" t="s">
        <v>311</v>
      </c>
      <c r="D17" s="45"/>
      <c r="E17" s="45"/>
      <c r="F17" s="43">
        <v>4</v>
      </c>
      <c r="G17" s="45">
        <f t="shared" si="1"/>
        <v>2.6244000000000001</v>
      </c>
      <c r="H17" s="45">
        <f t="shared" si="2"/>
        <v>10.4976</v>
      </c>
      <c r="I17" s="43"/>
      <c r="J17" s="45"/>
      <c r="K17" s="45"/>
      <c r="L17" s="78"/>
      <c r="M17" s="45"/>
      <c r="N17" s="25">
        <f>3*15.7</f>
        <v>47.099999999999994</v>
      </c>
    </row>
    <row r="18" spans="1:14" x14ac:dyDescent="0.25">
      <c r="A18" s="101"/>
      <c r="B18" s="44" t="s">
        <v>306</v>
      </c>
      <c r="C18" s="43">
        <v>715</v>
      </c>
      <c r="D18" s="45"/>
      <c r="E18" s="45">
        <f>2.56*2.1</f>
        <v>5.3760000000000003</v>
      </c>
      <c r="F18" s="43">
        <v>5</v>
      </c>
      <c r="G18" s="45">
        <f t="shared" si="1"/>
        <v>2.6244000000000001</v>
      </c>
      <c r="H18" s="45">
        <f t="shared" si="2"/>
        <v>13.122</v>
      </c>
      <c r="I18" s="43"/>
      <c r="J18" s="45"/>
      <c r="K18" s="45"/>
      <c r="L18" s="78"/>
      <c r="M18" s="45"/>
      <c r="N18" s="25"/>
    </row>
    <row r="19" spans="1:14" x14ac:dyDescent="0.25">
      <c r="A19" s="101"/>
      <c r="B19" s="44" t="s">
        <v>190</v>
      </c>
      <c r="C19" s="43">
        <v>716</v>
      </c>
      <c r="D19" s="45">
        <f>1.57*3.18</f>
        <v>4.9926000000000004</v>
      </c>
      <c r="E19" s="45">
        <f>2.56*1.54</f>
        <v>3.9424000000000001</v>
      </c>
      <c r="F19" s="43"/>
      <c r="G19" s="45"/>
      <c r="H19" s="45">
        <f t="shared" si="2"/>
        <v>0</v>
      </c>
      <c r="I19" s="43"/>
      <c r="J19" s="45"/>
      <c r="K19" s="45"/>
      <c r="L19" s="78"/>
      <c r="M19" s="45"/>
      <c r="N19" s="25"/>
    </row>
    <row r="20" spans="1:14" x14ac:dyDescent="0.25">
      <c r="A20" s="101"/>
      <c r="B20" s="44" t="s">
        <v>190</v>
      </c>
      <c r="C20" s="43">
        <v>717</v>
      </c>
      <c r="D20" s="45"/>
      <c r="E20" s="45">
        <f>2.56*1.63</f>
        <v>4.1727999999999996</v>
      </c>
      <c r="F20" s="43">
        <v>1</v>
      </c>
      <c r="G20" s="45">
        <f t="shared" si="1"/>
        <v>2.6244000000000001</v>
      </c>
      <c r="H20" s="45">
        <f t="shared" si="2"/>
        <v>2.6244000000000001</v>
      </c>
      <c r="I20" s="43"/>
      <c r="J20" s="45"/>
      <c r="K20" s="45"/>
      <c r="L20" s="78"/>
      <c r="M20" s="45"/>
      <c r="N20" s="25"/>
    </row>
    <row r="21" spans="1:14" x14ac:dyDescent="0.25">
      <c r="A21" s="101"/>
      <c r="B21" s="44" t="s">
        <v>312</v>
      </c>
      <c r="C21" s="43">
        <v>718</v>
      </c>
      <c r="D21" s="45"/>
      <c r="E21" s="45"/>
      <c r="F21" s="43">
        <v>2</v>
      </c>
      <c r="G21" s="45">
        <f t="shared" si="1"/>
        <v>2.6244000000000001</v>
      </c>
      <c r="H21" s="45">
        <f t="shared" si="2"/>
        <v>5.2488000000000001</v>
      </c>
      <c r="I21" s="43"/>
      <c r="J21" s="45"/>
      <c r="K21" s="45"/>
      <c r="L21" s="78"/>
      <c r="M21" s="45"/>
      <c r="N21" s="25"/>
    </row>
    <row r="22" spans="1:14" x14ac:dyDescent="0.25">
      <c r="A22" s="101"/>
      <c r="B22" s="44" t="s">
        <v>307</v>
      </c>
      <c r="C22" s="43">
        <v>720</v>
      </c>
      <c r="D22" s="45"/>
      <c r="E22" s="45">
        <f>2.56*0.71</f>
        <v>1.8175999999999999</v>
      </c>
      <c r="F22" s="43">
        <v>1</v>
      </c>
      <c r="G22" s="45">
        <f t="shared" si="1"/>
        <v>2.6244000000000001</v>
      </c>
      <c r="H22" s="45">
        <f t="shared" si="2"/>
        <v>2.6244000000000001</v>
      </c>
      <c r="I22" s="43"/>
      <c r="J22" s="45"/>
      <c r="K22" s="45"/>
      <c r="L22" s="78">
        <v>1</v>
      </c>
      <c r="M22" s="45">
        <f>0.75*1.87</f>
        <v>1.4025000000000001</v>
      </c>
      <c r="N22" s="25"/>
    </row>
    <row r="23" spans="1:14" x14ac:dyDescent="0.25">
      <c r="A23" s="101"/>
      <c r="B23" s="44" t="s">
        <v>308</v>
      </c>
      <c r="C23" s="43">
        <v>721</v>
      </c>
      <c r="D23" s="45"/>
      <c r="E23" s="45">
        <f>2.56*0.98</f>
        <v>2.5087999999999999</v>
      </c>
      <c r="F23" s="43">
        <v>3</v>
      </c>
      <c r="G23" s="45">
        <f t="shared" si="1"/>
        <v>2.6244000000000001</v>
      </c>
      <c r="H23" s="45">
        <f t="shared" si="2"/>
        <v>7.8732000000000006</v>
      </c>
      <c r="I23" s="43"/>
      <c r="J23" s="45"/>
      <c r="K23" s="45"/>
      <c r="L23" s="78">
        <v>1</v>
      </c>
      <c r="M23" s="45">
        <f>0.75*1.87</f>
        <v>1.4025000000000001</v>
      </c>
      <c r="N23" s="25"/>
    </row>
    <row r="24" spans="1:14" x14ac:dyDescent="0.25">
      <c r="A24" s="101"/>
      <c r="B24" s="44" t="s">
        <v>309</v>
      </c>
      <c r="C24" s="43">
        <v>722</v>
      </c>
      <c r="D24" s="45"/>
      <c r="E24" s="45">
        <f>2.56*0.98</f>
        <v>2.5087999999999999</v>
      </c>
      <c r="F24" s="43">
        <v>2</v>
      </c>
      <c r="G24" s="45">
        <f t="shared" si="1"/>
        <v>2.6244000000000001</v>
      </c>
      <c r="H24" s="45">
        <f t="shared" si="2"/>
        <v>5.2488000000000001</v>
      </c>
      <c r="I24" s="43"/>
      <c r="J24" s="45"/>
      <c r="K24" s="45"/>
      <c r="L24" s="78"/>
      <c r="M24" s="45"/>
      <c r="N24" s="25"/>
    </row>
    <row r="25" spans="1:14" x14ac:dyDescent="0.25">
      <c r="A25" s="101"/>
      <c r="B25" s="44" t="s">
        <v>200</v>
      </c>
      <c r="C25" s="43">
        <v>723</v>
      </c>
      <c r="D25" s="45"/>
      <c r="E25" s="45">
        <f>2.56*2.24</f>
        <v>5.7344000000000008</v>
      </c>
      <c r="F25" s="43">
        <v>2</v>
      </c>
      <c r="G25" s="45">
        <f t="shared" si="1"/>
        <v>2.6244000000000001</v>
      </c>
      <c r="H25" s="45">
        <f t="shared" si="2"/>
        <v>5.2488000000000001</v>
      </c>
      <c r="I25" s="43"/>
      <c r="J25" s="45"/>
      <c r="K25" s="45"/>
      <c r="L25" s="78"/>
      <c r="M25" s="45"/>
      <c r="N25" s="25"/>
    </row>
    <row r="26" spans="1:14" x14ac:dyDescent="0.25">
      <c r="A26" s="101"/>
      <c r="B26" s="44" t="s">
        <v>190</v>
      </c>
      <c r="C26" s="43">
        <v>724</v>
      </c>
      <c r="D26" s="45"/>
      <c r="E26" s="45">
        <f>2.56*0.98</f>
        <v>2.5087999999999999</v>
      </c>
      <c r="F26" s="43">
        <v>1</v>
      </c>
      <c r="G26" s="45">
        <f t="shared" si="1"/>
        <v>2.6244000000000001</v>
      </c>
      <c r="H26" s="45">
        <f t="shared" si="2"/>
        <v>2.6244000000000001</v>
      </c>
      <c r="I26" s="43"/>
      <c r="J26" s="45"/>
      <c r="K26" s="45"/>
      <c r="L26" s="78"/>
      <c r="M26" s="45"/>
      <c r="N26" s="25"/>
    </row>
    <row r="27" spans="1:14" x14ac:dyDescent="0.25">
      <c r="A27" s="101"/>
      <c r="B27" s="44" t="s">
        <v>190</v>
      </c>
      <c r="C27" s="43">
        <v>725</v>
      </c>
      <c r="D27" s="45"/>
      <c r="E27" s="45">
        <f>2.56*0.41</f>
        <v>1.0495999999999999</v>
      </c>
      <c r="F27" s="43">
        <v>1</v>
      </c>
      <c r="G27" s="45">
        <f t="shared" si="1"/>
        <v>2.6244000000000001</v>
      </c>
      <c r="H27" s="45">
        <f t="shared" si="2"/>
        <v>2.6244000000000001</v>
      </c>
      <c r="I27" s="43"/>
      <c r="J27" s="45"/>
      <c r="K27" s="45"/>
      <c r="L27" s="78"/>
      <c r="M27" s="45"/>
      <c r="N27" s="25"/>
    </row>
    <row r="28" spans="1:14" x14ac:dyDescent="0.25">
      <c r="A28" s="101"/>
      <c r="B28" s="44" t="s">
        <v>310</v>
      </c>
      <c r="C28" s="43">
        <v>726</v>
      </c>
      <c r="D28" s="45"/>
      <c r="E28" s="45">
        <f>2.56*0.93</f>
        <v>2.3808000000000002</v>
      </c>
      <c r="F28" s="43">
        <v>2</v>
      </c>
      <c r="G28" s="45">
        <f t="shared" si="1"/>
        <v>2.6244000000000001</v>
      </c>
      <c r="H28" s="45">
        <f t="shared" si="2"/>
        <v>5.2488000000000001</v>
      </c>
      <c r="I28" s="43"/>
      <c r="J28" s="45"/>
      <c r="K28" s="45"/>
      <c r="L28" s="78"/>
      <c r="M28" s="45"/>
      <c r="N28" s="25"/>
    </row>
    <row r="29" spans="1:14" x14ac:dyDescent="0.25">
      <c r="A29" s="101"/>
      <c r="B29" s="44" t="s">
        <v>313</v>
      </c>
      <c r="C29" s="43">
        <v>727</v>
      </c>
      <c r="D29" s="45"/>
      <c r="E29" s="45">
        <f>2.37*4.8</f>
        <v>11.375999999999999</v>
      </c>
      <c r="F29" s="43"/>
      <c r="G29" s="45">
        <f t="shared" si="1"/>
        <v>2.6244000000000001</v>
      </c>
      <c r="H29" s="45">
        <f t="shared" si="2"/>
        <v>0</v>
      </c>
      <c r="I29" s="43"/>
      <c r="J29" s="45"/>
      <c r="K29" s="45"/>
      <c r="L29" s="78"/>
      <c r="M29" s="45"/>
      <c r="N29" s="25">
        <f>2*15.58</f>
        <v>31.16</v>
      </c>
    </row>
    <row r="30" spans="1:14" ht="15.75" thickBot="1" x14ac:dyDescent="0.3">
      <c r="A30" s="102"/>
      <c r="B30" s="35" t="s">
        <v>252</v>
      </c>
      <c r="C30" s="36">
        <v>734</v>
      </c>
      <c r="D30" s="37"/>
      <c r="E30" s="37">
        <f>2.56*2.4</f>
        <v>6.1440000000000001</v>
      </c>
      <c r="F30" s="36"/>
      <c r="G30" s="37"/>
      <c r="H30" s="37"/>
      <c r="I30" s="36"/>
      <c r="J30" s="37"/>
      <c r="K30" s="37"/>
      <c r="L30" s="80"/>
      <c r="M30" s="37"/>
      <c r="N30" s="39"/>
    </row>
    <row r="31" spans="1:14" x14ac:dyDescent="0.25">
      <c r="A31" s="103" t="s">
        <v>70</v>
      </c>
      <c r="B31" s="104"/>
      <c r="C31" s="104"/>
      <c r="D31" s="70">
        <f t="shared" ref="D31:N31" si="3">SUM(D7:D30)</f>
        <v>4.9926000000000004</v>
      </c>
      <c r="E31" s="70">
        <f t="shared" si="3"/>
        <v>91.299199999999999</v>
      </c>
      <c r="F31" s="75">
        <f t="shared" si="3"/>
        <v>46</v>
      </c>
      <c r="G31" s="70">
        <f t="shared" si="3"/>
        <v>57.736800000000017</v>
      </c>
      <c r="H31" s="70">
        <f t="shared" si="3"/>
        <v>120.72239999999999</v>
      </c>
      <c r="I31" s="75">
        <f t="shared" si="3"/>
        <v>0</v>
      </c>
      <c r="J31" s="70">
        <f t="shared" si="3"/>
        <v>0</v>
      </c>
      <c r="K31" s="70">
        <f t="shared" si="3"/>
        <v>0</v>
      </c>
      <c r="L31" s="75">
        <f t="shared" si="3"/>
        <v>4</v>
      </c>
      <c r="M31" s="70">
        <f t="shared" si="3"/>
        <v>5.61</v>
      </c>
      <c r="N31" s="71">
        <f t="shared" si="3"/>
        <v>78.259999999999991</v>
      </c>
    </row>
    <row r="32" spans="1:14" ht="15.75" thickBot="1" x14ac:dyDescent="0.3">
      <c r="A32" s="105" t="s">
        <v>195</v>
      </c>
      <c r="B32" s="106"/>
      <c r="C32" s="106"/>
      <c r="D32" s="73">
        <f>D31*2</f>
        <v>9.9852000000000007</v>
      </c>
      <c r="E32" s="73">
        <f t="shared" ref="E32:N32" si="4">E31*2</f>
        <v>182.5984</v>
      </c>
      <c r="F32" s="73"/>
      <c r="G32" s="73">
        <f t="shared" si="4"/>
        <v>115.47360000000003</v>
      </c>
      <c r="H32" s="73">
        <f t="shared" si="4"/>
        <v>241.44479999999999</v>
      </c>
      <c r="I32" s="73"/>
      <c r="J32" s="73">
        <f t="shared" si="4"/>
        <v>0</v>
      </c>
      <c r="K32" s="73">
        <f t="shared" si="4"/>
        <v>0</v>
      </c>
      <c r="L32" s="73"/>
      <c r="M32" s="73">
        <f t="shared" si="4"/>
        <v>11.22</v>
      </c>
      <c r="N32" s="74">
        <f t="shared" si="4"/>
        <v>156.51999999999998</v>
      </c>
    </row>
  </sheetData>
  <mergeCells count="11">
    <mergeCell ref="F5:H5"/>
    <mergeCell ref="I5:K5"/>
    <mergeCell ref="L5:M5"/>
    <mergeCell ref="A1:N1"/>
    <mergeCell ref="A2:N2"/>
    <mergeCell ref="A7:A30"/>
    <mergeCell ref="A31:C31"/>
    <mergeCell ref="A32:C32"/>
    <mergeCell ref="A5:A6"/>
    <mergeCell ref="B5:B6"/>
    <mergeCell ref="C5:C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workbookViewId="0">
      <pane ySplit="4" topLeftCell="A5" activePane="bottomLeft" state="frozen"/>
      <selection pane="bottomLeft" sqref="A1:N2"/>
    </sheetView>
  </sheetViews>
  <sheetFormatPr baseColWidth="10" defaultRowHeight="15" x14ac:dyDescent="0.25"/>
  <cols>
    <col min="1" max="1" width="10.85546875" style="2"/>
    <col min="2" max="2" width="21.85546875" style="3" customWidth="1"/>
    <col min="3" max="3" width="10.85546875" style="2"/>
    <col min="4" max="5" width="13.7109375" style="2" customWidth="1"/>
    <col min="6" max="7" width="5.7109375" style="2" customWidth="1"/>
    <col min="8" max="8" width="7.28515625" style="7" customWidth="1"/>
    <col min="9" max="10" width="7.28515625" style="2" customWidth="1"/>
    <col min="11" max="11" width="6.28515625" style="2" customWidth="1"/>
    <col min="12" max="12" width="6.28515625" style="5" customWidth="1"/>
    <col min="13" max="13" width="11" customWidth="1"/>
    <col min="14" max="14" width="13.7109375" style="2" customWidth="1"/>
  </cols>
  <sheetData>
    <row r="1" spans="1:14" ht="28.5" x14ac:dyDescent="0.25">
      <c r="A1" s="138" t="s">
        <v>314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4" ht="18.75" x14ac:dyDescent="0.25">
      <c r="A2" s="145" t="s">
        <v>316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s="1" customFormat="1" ht="29.1" customHeight="1" x14ac:dyDescent="0.25">
      <c r="A3" s="2"/>
      <c r="B3" s="3"/>
      <c r="C3" s="2"/>
      <c r="D3" s="2"/>
      <c r="E3" s="2"/>
      <c r="F3" s="2"/>
      <c r="G3" s="2"/>
      <c r="H3" s="7"/>
      <c r="I3" s="2"/>
      <c r="J3" s="2"/>
      <c r="K3" s="2"/>
      <c r="L3" s="5"/>
      <c r="M3"/>
      <c r="N3" s="2"/>
    </row>
    <row r="4" spans="1:14" s="1" customFormat="1" ht="15.75" thickBot="1" x14ac:dyDescent="0.3">
      <c r="A4" s="2"/>
      <c r="B4" s="3"/>
      <c r="C4" s="2"/>
      <c r="D4" s="2"/>
      <c r="E4" s="2"/>
      <c r="F4" s="2"/>
      <c r="G4" s="2"/>
      <c r="H4" s="7"/>
      <c r="I4" s="2"/>
      <c r="J4" s="2"/>
      <c r="K4" s="2"/>
      <c r="L4" s="5"/>
      <c r="M4"/>
      <c r="N4" s="2"/>
    </row>
    <row r="5" spans="1:14" s="4" customFormat="1" ht="30" x14ac:dyDescent="0.25">
      <c r="A5" s="122" t="s">
        <v>0</v>
      </c>
      <c r="B5" s="124" t="s">
        <v>1</v>
      </c>
      <c r="C5" s="124" t="s">
        <v>2</v>
      </c>
      <c r="D5" s="22" t="s">
        <v>15</v>
      </c>
      <c r="E5" s="22" t="s">
        <v>16</v>
      </c>
      <c r="F5" s="124" t="s">
        <v>17</v>
      </c>
      <c r="G5" s="124"/>
      <c r="H5" s="124"/>
      <c r="I5" s="124" t="s">
        <v>18</v>
      </c>
      <c r="J5" s="124"/>
      <c r="K5" s="124"/>
      <c r="L5" s="132" t="s">
        <v>20</v>
      </c>
      <c r="M5" s="133"/>
      <c r="N5" s="23" t="s">
        <v>19</v>
      </c>
    </row>
    <row r="6" spans="1:14" ht="15.75" thickBot="1" x14ac:dyDescent="0.3">
      <c r="A6" s="123"/>
      <c r="B6" s="125"/>
      <c r="C6" s="125"/>
      <c r="D6" s="31" t="s">
        <v>22</v>
      </c>
      <c r="E6" s="31" t="s">
        <v>22</v>
      </c>
      <c r="F6" s="31" t="s">
        <v>21</v>
      </c>
      <c r="G6" s="31" t="s">
        <v>22</v>
      </c>
      <c r="H6" s="32" t="s">
        <v>23</v>
      </c>
      <c r="I6" s="31" t="s">
        <v>21</v>
      </c>
      <c r="J6" s="31" t="s">
        <v>22</v>
      </c>
      <c r="K6" s="31" t="s">
        <v>23</v>
      </c>
      <c r="L6" s="31" t="s">
        <v>21</v>
      </c>
      <c r="M6" s="31" t="s">
        <v>22</v>
      </c>
      <c r="N6" s="33" t="s">
        <v>22</v>
      </c>
    </row>
    <row r="7" spans="1:14" x14ac:dyDescent="0.25">
      <c r="A7" s="26" t="s">
        <v>3</v>
      </c>
      <c r="B7" s="27" t="s">
        <v>4</v>
      </c>
      <c r="C7" s="28" t="s">
        <v>10</v>
      </c>
      <c r="D7" s="28"/>
      <c r="E7" s="28"/>
      <c r="F7" s="28">
        <v>2</v>
      </c>
      <c r="G7" s="28">
        <f>0.72*1.42</f>
        <v>1.0224</v>
      </c>
      <c r="H7" s="29">
        <f>F7*G7</f>
        <v>2.0448</v>
      </c>
      <c r="I7" s="28"/>
      <c r="J7" s="28"/>
      <c r="K7" s="28"/>
      <c r="L7" s="28"/>
      <c r="M7" s="28"/>
      <c r="N7" s="30"/>
    </row>
    <row r="8" spans="1:14" ht="45" x14ac:dyDescent="0.25">
      <c r="A8" s="24" t="s">
        <v>3</v>
      </c>
      <c r="B8" s="17" t="s">
        <v>4</v>
      </c>
      <c r="C8" s="16" t="s">
        <v>9</v>
      </c>
      <c r="D8" s="18" t="s">
        <v>26</v>
      </c>
      <c r="E8" s="16"/>
      <c r="F8" s="16">
        <v>4</v>
      </c>
      <c r="G8" s="14">
        <f>0.72*1.42</f>
        <v>1.0224</v>
      </c>
      <c r="H8" s="15">
        <f>F8*G8</f>
        <v>4.0895999999999999</v>
      </c>
      <c r="I8" s="16"/>
      <c r="J8" s="16"/>
      <c r="K8" s="16"/>
      <c r="L8" s="43">
        <v>1</v>
      </c>
      <c r="M8" s="21" t="s">
        <v>196</v>
      </c>
      <c r="N8" s="25"/>
    </row>
    <row r="9" spans="1:14" ht="45" x14ac:dyDescent="0.25">
      <c r="A9" s="24" t="s">
        <v>3</v>
      </c>
      <c r="B9" s="17" t="s">
        <v>5</v>
      </c>
      <c r="C9" s="16" t="s">
        <v>6</v>
      </c>
      <c r="D9" s="18" t="s">
        <v>25</v>
      </c>
      <c r="E9" s="16"/>
      <c r="F9" s="16"/>
      <c r="G9" s="16"/>
      <c r="H9" s="20"/>
      <c r="I9" s="16"/>
      <c r="J9" s="16"/>
      <c r="K9" s="16"/>
      <c r="L9" s="43">
        <v>2</v>
      </c>
      <c r="M9" s="21" t="s">
        <v>196</v>
      </c>
      <c r="N9" s="25"/>
    </row>
    <row r="10" spans="1:14" ht="30" x14ac:dyDescent="0.25">
      <c r="A10" s="24" t="s">
        <v>3</v>
      </c>
      <c r="B10" s="17" t="s">
        <v>8</v>
      </c>
      <c r="C10" s="16" t="s">
        <v>7</v>
      </c>
      <c r="D10" s="18" t="s">
        <v>24</v>
      </c>
      <c r="E10" s="16"/>
      <c r="F10" s="16"/>
      <c r="G10" s="16"/>
      <c r="H10" s="20"/>
      <c r="I10" s="16"/>
      <c r="J10" s="16"/>
      <c r="K10" s="16"/>
      <c r="L10" s="43"/>
      <c r="M10" s="19"/>
      <c r="N10" s="25"/>
    </row>
    <row r="11" spans="1:14" s="13" customFormat="1" x14ac:dyDescent="0.25">
      <c r="A11" s="24" t="s">
        <v>3</v>
      </c>
      <c r="B11" s="17" t="s">
        <v>27</v>
      </c>
      <c r="C11" s="16" t="s">
        <v>6</v>
      </c>
      <c r="D11" s="16"/>
      <c r="E11" s="16"/>
      <c r="F11" s="16">
        <v>3</v>
      </c>
      <c r="G11" s="16">
        <f>1*2.22</f>
        <v>2.2200000000000002</v>
      </c>
      <c r="H11" s="20">
        <f>F11*G11</f>
        <v>6.66</v>
      </c>
      <c r="I11" s="16"/>
      <c r="J11" s="16"/>
      <c r="K11" s="16"/>
      <c r="L11" s="43"/>
      <c r="M11" s="19"/>
      <c r="N11" s="25"/>
    </row>
    <row r="12" spans="1:14" s="11" customFormat="1" ht="15.75" thickBot="1" x14ac:dyDescent="0.3">
      <c r="A12" s="34" t="s">
        <v>28</v>
      </c>
      <c r="B12" s="35" t="s">
        <v>29</v>
      </c>
      <c r="C12" s="36" t="s">
        <v>30</v>
      </c>
      <c r="D12" s="36"/>
      <c r="E12" s="36">
        <f>0.8*5</f>
        <v>4</v>
      </c>
      <c r="F12" s="36"/>
      <c r="G12" s="36"/>
      <c r="H12" s="37">
        <f t="shared" ref="H12" si="0">F12*G12</f>
        <v>0</v>
      </c>
      <c r="I12" s="36"/>
      <c r="J12" s="36"/>
      <c r="K12" s="36"/>
      <c r="L12" s="36"/>
      <c r="M12" s="38"/>
      <c r="N12" s="39"/>
    </row>
    <row r="13" spans="1:14" s="11" customFormat="1" ht="15.75" thickBot="1" x14ac:dyDescent="0.3">
      <c r="A13" s="130" t="s">
        <v>70</v>
      </c>
      <c r="B13" s="131"/>
      <c r="C13" s="131"/>
      <c r="D13" s="40"/>
      <c r="E13" s="40">
        <f>SUM(E7:E12)</f>
        <v>4</v>
      </c>
      <c r="F13" s="83">
        <f t="shared" ref="F13:N13" si="1">SUM(F7:F12)</f>
        <v>9</v>
      </c>
      <c r="G13" s="40">
        <f t="shared" si="1"/>
        <v>4.2648000000000001</v>
      </c>
      <c r="H13" s="40">
        <f t="shared" si="1"/>
        <v>12.7944</v>
      </c>
      <c r="I13" s="83">
        <f t="shared" si="1"/>
        <v>0</v>
      </c>
      <c r="J13" s="40">
        <f t="shared" si="1"/>
        <v>0</v>
      </c>
      <c r="K13" s="40">
        <f t="shared" si="1"/>
        <v>0</v>
      </c>
      <c r="L13" s="83">
        <f>SUM(L7:L12)</f>
        <v>3</v>
      </c>
      <c r="M13" s="40">
        <f t="shared" si="1"/>
        <v>0</v>
      </c>
      <c r="N13" s="41">
        <f t="shared" si="1"/>
        <v>0</v>
      </c>
    </row>
    <row r="14" spans="1:14" s="11" customFormat="1" ht="15.75" thickBot="1" x14ac:dyDescent="0.3">
      <c r="A14" s="130" t="s">
        <v>195</v>
      </c>
      <c r="B14" s="131"/>
      <c r="C14" s="131"/>
      <c r="D14" s="83">
        <f>D13*2</f>
        <v>0</v>
      </c>
      <c r="E14" s="83">
        <f t="shared" ref="E14:N14" si="2">E13*2</f>
        <v>8</v>
      </c>
      <c r="F14" s="83"/>
      <c r="G14" s="83">
        <f t="shared" si="2"/>
        <v>8.5296000000000003</v>
      </c>
      <c r="H14" s="83">
        <f t="shared" si="2"/>
        <v>25.588799999999999</v>
      </c>
      <c r="I14" s="83"/>
      <c r="J14" s="83">
        <f t="shared" si="2"/>
        <v>0</v>
      </c>
      <c r="K14" s="83">
        <f t="shared" si="2"/>
        <v>0</v>
      </c>
      <c r="L14" s="83"/>
      <c r="M14" s="83"/>
      <c r="N14" s="83">
        <f t="shared" si="2"/>
        <v>0</v>
      </c>
    </row>
    <row r="15" spans="1:14" s="11" customFormat="1" x14ac:dyDescent="0.25">
      <c r="A15" s="12"/>
      <c r="B15" s="12"/>
      <c r="C15" s="12"/>
      <c r="D15" s="8"/>
      <c r="E15" s="8"/>
      <c r="F15" s="8"/>
      <c r="G15" s="8"/>
      <c r="H15" s="10"/>
      <c r="I15" s="8"/>
      <c r="J15" s="8"/>
      <c r="K15" s="8"/>
      <c r="L15" s="8"/>
      <c r="N15" s="8"/>
    </row>
    <row r="16" spans="1:14" s="11" customFormat="1" x14ac:dyDescent="0.25">
      <c r="A16" s="12"/>
      <c r="B16" s="12"/>
      <c r="C16" s="12"/>
      <c r="D16" s="8"/>
      <c r="E16" s="8"/>
      <c r="F16" s="8"/>
      <c r="G16" s="8"/>
      <c r="H16" s="10"/>
      <c r="I16" s="8"/>
      <c r="J16" s="8"/>
      <c r="K16" s="8"/>
      <c r="L16" s="8"/>
      <c r="N16" s="8"/>
    </row>
    <row r="17" spans="1:14" s="11" customFormat="1" x14ac:dyDescent="0.25">
      <c r="A17" s="8"/>
      <c r="B17" s="12"/>
      <c r="C17" s="12"/>
      <c r="D17" s="12"/>
      <c r="E17" s="12"/>
      <c r="F17" s="8"/>
      <c r="G17" s="8"/>
      <c r="H17" s="10"/>
      <c r="I17" s="8"/>
      <c r="J17" s="8"/>
      <c r="K17" s="8"/>
      <c r="L17" s="8"/>
      <c r="N17" s="8"/>
    </row>
    <row r="18" spans="1:14" s="11" customFormat="1" x14ac:dyDescent="0.25">
      <c r="A18" s="8"/>
      <c r="B18" s="12"/>
      <c r="C18" s="12"/>
      <c r="D18" s="12"/>
      <c r="E18" s="12"/>
      <c r="F18" s="8"/>
      <c r="G18" s="8"/>
      <c r="H18" s="10"/>
      <c r="I18" s="8"/>
      <c r="J18" s="8"/>
      <c r="K18" s="8"/>
      <c r="L18" s="8"/>
      <c r="N18" s="8"/>
    </row>
    <row r="19" spans="1:14" s="11" customFormat="1" x14ac:dyDescent="0.25">
      <c r="A19" s="8"/>
      <c r="B19" s="12"/>
      <c r="C19" s="12"/>
      <c r="D19" s="12"/>
      <c r="E19" s="12"/>
      <c r="F19" s="8"/>
      <c r="G19" s="8"/>
      <c r="H19" s="10"/>
      <c r="I19" s="8"/>
      <c r="J19" s="8"/>
      <c r="K19" s="8"/>
      <c r="L19" s="8"/>
      <c r="N19" s="8"/>
    </row>
    <row r="20" spans="1:14" s="11" customFormat="1" x14ac:dyDescent="0.25">
      <c r="A20" s="8"/>
      <c r="B20" s="12"/>
      <c r="C20" s="12"/>
      <c r="D20" s="12"/>
      <c r="E20" s="12"/>
      <c r="F20" s="8"/>
      <c r="G20" s="8"/>
      <c r="H20" s="10"/>
      <c r="I20" s="8"/>
      <c r="J20" s="8"/>
      <c r="K20" s="8"/>
      <c r="L20" s="8"/>
      <c r="N20" s="8"/>
    </row>
    <row r="21" spans="1:14" s="11" customFormat="1" x14ac:dyDescent="0.25">
      <c r="A21" s="8"/>
      <c r="B21" s="9"/>
      <c r="C21" s="8"/>
      <c r="D21" s="8"/>
      <c r="E21" s="8"/>
      <c r="F21" s="8"/>
      <c r="G21" s="8"/>
      <c r="H21" s="10"/>
      <c r="I21" s="8"/>
      <c r="J21" s="8"/>
      <c r="K21" s="8"/>
      <c r="L21" s="8"/>
      <c r="N21" s="8"/>
    </row>
    <row r="22" spans="1:14" s="11" customFormat="1" x14ac:dyDescent="0.25">
      <c r="A22" s="8"/>
      <c r="B22" s="9"/>
      <c r="C22" s="8"/>
      <c r="D22" s="8"/>
      <c r="E22" s="8"/>
      <c r="F22" s="8"/>
      <c r="G22" s="8"/>
      <c r="H22" s="10"/>
      <c r="I22" s="8"/>
      <c r="J22" s="8"/>
      <c r="K22" s="8"/>
      <c r="L22" s="8"/>
      <c r="N22" s="8"/>
    </row>
    <row r="23" spans="1:14" s="11" customFormat="1" x14ac:dyDescent="0.25">
      <c r="A23" s="8"/>
      <c r="B23" s="9"/>
      <c r="C23" s="8"/>
      <c r="D23" s="8"/>
      <c r="E23" s="8"/>
      <c r="F23" s="8"/>
      <c r="G23" s="8"/>
      <c r="H23" s="10"/>
      <c r="I23" s="8"/>
      <c r="J23" s="8"/>
      <c r="K23" s="8"/>
      <c r="L23" s="8"/>
      <c r="N23" s="8"/>
    </row>
    <row r="24" spans="1:14" s="11" customFormat="1" x14ac:dyDescent="0.25">
      <c r="A24" s="8"/>
      <c r="B24" s="12"/>
      <c r="C24" s="12"/>
      <c r="D24" s="12"/>
      <c r="E24" s="12"/>
      <c r="F24" s="8"/>
      <c r="G24" s="8"/>
      <c r="H24" s="10"/>
      <c r="I24" s="8"/>
      <c r="J24" s="8"/>
      <c r="K24" s="8"/>
      <c r="L24" s="8"/>
      <c r="N24" s="8"/>
    </row>
    <row r="25" spans="1:14" s="11" customFormat="1" x14ac:dyDescent="0.25">
      <c r="A25" s="8"/>
      <c r="B25" s="12"/>
      <c r="C25" s="12"/>
      <c r="D25" s="12"/>
      <c r="E25" s="12"/>
      <c r="F25" s="8"/>
      <c r="G25" s="8"/>
      <c r="H25" s="10"/>
      <c r="I25" s="8"/>
      <c r="J25" s="8"/>
      <c r="K25" s="8"/>
      <c r="L25" s="8"/>
      <c r="N25" s="8"/>
    </row>
    <row r="26" spans="1:14" s="11" customFormat="1" x14ac:dyDescent="0.25">
      <c r="A26" s="8"/>
      <c r="B26" s="9"/>
      <c r="C26" s="8"/>
      <c r="D26" s="8"/>
      <c r="E26" s="8"/>
      <c r="F26" s="8"/>
      <c r="G26" s="8"/>
      <c r="H26" s="10"/>
      <c r="I26" s="8"/>
      <c r="J26" s="8"/>
      <c r="K26" s="8"/>
      <c r="L26" s="8"/>
      <c r="N26" s="8"/>
    </row>
    <row r="27" spans="1:14" s="11" customFormat="1" x14ac:dyDescent="0.25">
      <c r="A27" s="8"/>
      <c r="B27" s="9"/>
      <c r="C27" s="8"/>
      <c r="D27" s="8"/>
      <c r="E27" s="8"/>
      <c r="F27" s="8"/>
      <c r="G27" s="8"/>
      <c r="H27" s="10"/>
      <c r="I27" s="8"/>
      <c r="J27" s="8"/>
      <c r="K27" s="8"/>
      <c r="L27" s="8"/>
      <c r="N27" s="8"/>
    </row>
    <row r="28" spans="1:14" s="11" customFormat="1" x14ac:dyDescent="0.25">
      <c r="A28" s="8"/>
      <c r="B28" s="9"/>
      <c r="C28" s="8"/>
      <c r="D28" s="8"/>
      <c r="E28" s="8"/>
      <c r="F28" s="8"/>
      <c r="G28" s="8"/>
      <c r="H28" s="10"/>
      <c r="I28" s="8"/>
      <c r="J28" s="8"/>
      <c r="K28" s="8"/>
      <c r="L28" s="8"/>
      <c r="N28" s="8"/>
    </row>
    <row r="29" spans="1:14" s="11" customFormat="1" x14ac:dyDescent="0.25">
      <c r="A29" s="8"/>
      <c r="B29" s="9"/>
      <c r="C29" s="8"/>
      <c r="D29" s="8"/>
      <c r="E29" s="8"/>
      <c r="F29" s="8"/>
      <c r="G29" s="8"/>
      <c r="H29" s="10"/>
      <c r="I29" s="8"/>
      <c r="J29" s="8"/>
      <c r="K29" s="8"/>
      <c r="L29" s="8"/>
      <c r="N29" s="8"/>
    </row>
    <row r="30" spans="1:14" s="11" customFormat="1" x14ac:dyDescent="0.25">
      <c r="A30" s="8"/>
      <c r="B30" s="9"/>
      <c r="C30" s="8"/>
      <c r="D30" s="8"/>
      <c r="E30" s="8"/>
      <c r="F30" s="8"/>
      <c r="G30" s="8"/>
      <c r="H30" s="10"/>
      <c r="I30" s="8"/>
      <c r="J30" s="8"/>
      <c r="K30" s="8"/>
      <c r="L30" s="8"/>
      <c r="N30" s="8"/>
    </row>
    <row r="31" spans="1:14" s="11" customFormat="1" x14ac:dyDescent="0.25">
      <c r="A31" s="8"/>
      <c r="B31" s="12"/>
      <c r="C31" s="12"/>
      <c r="D31" s="8"/>
      <c r="E31" s="8"/>
      <c r="F31" s="8"/>
      <c r="G31" s="8"/>
      <c r="H31" s="10"/>
      <c r="I31" s="8"/>
      <c r="J31" s="8"/>
      <c r="K31" s="8"/>
      <c r="L31" s="8"/>
      <c r="N31" s="8"/>
    </row>
    <row r="32" spans="1:14" s="11" customFormat="1" x14ac:dyDescent="0.25">
      <c r="A32" s="8"/>
      <c r="B32" s="12"/>
      <c r="C32" s="12"/>
      <c r="D32" s="8"/>
      <c r="E32" s="8"/>
      <c r="F32" s="8"/>
      <c r="G32" s="8"/>
      <c r="H32" s="10"/>
      <c r="I32" s="8"/>
      <c r="J32" s="8"/>
      <c r="K32" s="8"/>
      <c r="L32" s="8"/>
      <c r="N32" s="8"/>
    </row>
    <row r="33" spans="1:14" s="11" customFormat="1" x14ac:dyDescent="0.25">
      <c r="A33" s="8"/>
      <c r="B33" s="12"/>
      <c r="C33" s="12"/>
      <c r="D33" s="8"/>
      <c r="E33" s="8"/>
      <c r="F33" s="8"/>
      <c r="G33" s="8"/>
      <c r="H33" s="10"/>
      <c r="I33" s="8"/>
      <c r="J33" s="8"/>
      <c r="K33" s="8"/>
      <c r="L33" s="8"/>
      <c r="N33" s="8"/>
    </row>
    <row r="34" spans="1:14" s="11" customFormat="1" x14ac:dyDescent="0.25">
      <c r="A34" s="8"/>
      <c r="B34" s="12"/>
      <c r="C34" s="12"/>
      <c r="D34" s="8"/>
      <c r="E34" s="8"/>
      <c r="F34" s="8"/>
      <c r="G34" s="8"/>
      <c r="H34" s="10"/>
      <c r="I34" s="8"/>
      <c r="J34" s="8"/>
      <c r="K34" s="8"/>
      <c r="L34" s="8"/>
      <c r="N34" s="8"/>
    </row>
    <row r="35" spans="1:14" s="11" customFormat="1" x14ac:dyDescent="0.25">
      <c r="A35" s="8"/>
      <c r="B35" s="12"/>
      <c r="C35" s="12"/>
      <c r="D35" s="8"/>
      <c r="E35" s="8"/>
      <c r="F35" s="8"/>
      <c r="G35" s="8"/>
      <c r="H35" s="10"/>
      <c r="I35" s="8"/>
      <c r="J35" s="8"/>
      <c r="K35" s="8"/>
      <c r="L35" s="8"/>
      <c r="N35" s="8"/>
    </row>
    <row r="36" spans="1:14" s="11" customFormat="1" x14ac:dyDescent="0.25">
      <c r="A36" s="8"/>
      <c r="B36" s="12"/>
      <c r="C36" s="12"/>
      <c r="D36" s="8"/>
      <c r="E36" s="8"/>
      <c r="F36" s="8"/>
      <c r="G36" s="8"/>
      <c r="H36" s="10"/>
      <c r="I36" s="8"/>
      <c r="J36" s="8"/>
      <c r="K36" s="8"/>
      <c r="L36" s="8"/>
      <c r="N36" s="8"/>
    </row>
    <row r="37" spans="1:14" s="11" customFormat="1" x14ac:dyDescent="0.25">
      <c r="A37" s="8"/>
      <c r="B37" s="12"/>
      <c r="C37" s="12"/>
      <c r="D37" s="8"/>
      <c r="E37" s="8"/>
      <c r="F37" s="8"/>
      <c r="G37" s="8"/>
      <c r="H37" s="10"/>
      <c r="I37" s="8"/>
      <c r="J37" s="8"/>
      <c r="K37" s="8"/>
      <c r="L37" s="8"/>
      <c r="N37" s="8"/>
    </row>
    <row r="38" spans="1:14" s="11" customFormat="1" x14ac:dyDescent="0.25">
      <c r="A38" s="8"/>
      <c r="B38" s="12"/>
      <c r="C38" s="12"/>
      <c r="D38" s="8"/>
      <c r="E38" s="8"/>
      <c r="F38" s="8"/>
      <c r="G38" s="8"/>
      <c r="H38" s="10"/>
      <c r="I38" s="8"/>
      <c r="J38" s="8"/>
      <c r="K38" s="8"/>
      <c r="L38" s="8"/>
      <c r="N38" s="8"/>
    </row>
    <row r="39" spans="1:14" s="11" customFormat="1" x14ac:dyDescent="0.25">
      <c r="A39" s="8"/>
      <c r="B39" s="12"/>
      <c r="C39" s="12"/>
      <c r="D39" s="8"/>
      <c r="E39" s="8"/>
      <c r="F39" s="8"/>
      <c r="G39" s="8"/>
      <c r="H39" s="10"/>
      <c r="I39" s="8"/>
      <c r="J39" s="8"/>
      <c r="K39" s="8"/>
      <c r="L39" s="8"/>
      <c r="N39" s="8"/>
    </row>
    <row r="40" spans="1:14" s="11" customFormat="1" x14ac:dyDescent="0.25">
      <c r="A40" s="8"/>
      <c r="B40" s="12"/>
      <c r="C40" s="12"/>
      <c r="D40" s="8"/>
      <c r="E40" s="8"/>
      <c r="F40" s="8"/>
      <c r="G40" s="8"/>
      <c r="H40" s="10"/>
      <c r="I40" s="8"/>
      <c r="J40" s="8"/>
      <c r="K40" s="8"/>
      <c r="L40" s="8"/>
      <c r="N40" s="8"/>
    </row>
    <row r="41" spans="1:14" s="11" customFormat="1" x14ac:dyDescent="0.25">
      <c r="A41" s="8"/>
      <c r="B41" s="12"/>
      <c r="C41" s="12"/>
      <c r="D41" s="8"/>
      <c r="E41" s="8"/>
      <c r="F41" s="8"/>
      <c r="G41" s="8"/>
      <c r="H41" s="10"/>
      <c r="I41" s="8"/>
      <c r="J41" s="8"/>
      <c r="K41" s="8"/>
      <c r="L41" s="8"/>
      <c r="N41" s="8"/>
    </row>
    <row r="42" spans="1:14" s="11" customFormat="1" x14ac:dyDescent="0.25">
      <c r="A42" s="8"/>
      <c r="B42" s="12"/>
      <c r="C42" s="12"/>
      <c r="D42" s="8"/>
      <c r="E42" s="8"/>
      <c r="F42" s="8"/>
      <c r="G42" s="8"/>
      <c r="H42" s="10"/>
      <c r="I42" s="8"/>
      <c r="J42" s="8"/>
      <c r="K42" s="8"/>
      <c r="L42" s="8"/>
      <c r="N42" s="8"/>
    </row>
    <row r="43" spans="1:14" s="11" customFormat="1" x14ac:dyDescent="0.25">
      <c r="A43" s="8"/>
      <c r="B43" s="12"/>
      <c r="C43" s="12"/>
      <c r="D43" s="8"/>
      <c r="E43" s="8"/>
      <c r="F43" s="8"/>
      <c r="G43" s="8"/>
      <c r="H43" s="10"/>
      <c r="I43" s="8"/>
      <c r="J43" s="8"/>
      <c r="K43" s="8"/>
      <c r="L43" s="8"/>
      <c r="N43" s="8"/>
    </row>
    <row r="44" spans="1:14" s="11" customFormat="1" x14ac:dyDescent="0.25">
      <c r="A44" s="8"/>
      <c r="B44" s="12"/>
      <c r="C44" s="12"/>
      <c r="D44" s="8"/>
      <c r="E44" s="8"/>
      <c r="F44" s="8"/>
      <c r="G44" s="8"/>
      <c r="H44" s="10"/>
      <c r="I44" s="8"/>
      <c r="J44" s="8"/>
      <c r="K44" s="8"/>
      <c r="L44" s="8"/>
      <c r="N44" s="8"/>
    </row>
    <row r="45" spans="1:14" s="11" customFormat="1" x14ac:dyDescent="0.25">
      <c r="A45" s="8"/>
      <c r="B45" s="12"/>
      <c r="C45" s="12"/>
      <c r="D45" s="8"/>
      <c r="E45" s="8"/>
      <c r="F45" s="8"/>
      <c r="G45" s="8"/>
      <c r="H45" s="10"/>
      <c r="I45" s="8"/>
      <c r="J45" s="8"/>
      <c r="K45" s="8"/>
      <c r="L45" s="8"/>
      <c r="N45" s="8"/>
    </row>
    <row r="46" spans="1:14" s="11" customFormat="1" x14ac:dyDescent="0.25">
      <c r="A46" s="8"/>
      <c r="B46" s="12"/>
      <c r="C46" s="12"/>
      <c r="D46" s="8"/>
      <c r="E46" s="8"/>
      <c r="F46" s="8"/>
      <c r="G46" s="8"/>
      <c r="H46" s="10"/>
      <c r="I46" s="8"/>
      <c r="J46" s="8"/>
      <c r="K46" s="8"/>
      <c r="L46" s="8"/>
      <c r="N46" s="8"/>
    </row>
    <row r="47" spans="1:14" s="11" customFormat="1" x14ac:dyDescent="0.25">
      <c r="A47" s="8"/>
      <c r="B47" s="12"/>
      <c r="C47" s="12"/>
      <c r="D47" s="8"/>
      <c r="E47" s="8"/>
      <c r="F47" s="8"/>
      <c r="G47" s="8"/>
      <c r="H47" s="10"/>
      <c r="I47" s="8"/>
      <c r="J47" s="8"/>
      <c r="K47" s="8"/>
      <c r="L47" s="8"/>
      <c r="N47" s="8"/>
    </row>
    <row r="48" spans="1:14" s="11" customFormat="1" x14ac:dyDescent="0.25">
      <c r="A48" s="8"/>
      <c r="B48" s="12"/>
      <c r="C48" s="12"/>
      <c r="D48" s="8"/>
      <c r="E48" s="8"/>
      <c r="F48" s="8"/>
      <c r="G48" s="8"/>
      <c r="H48" s="10"/>
      <c r="I48" s="8"/>
      <c r="J48" s="8"/>
      <c r="K48" s="8"/>
      <c r="L48" s="8"/>
      <c r="N48" s="8"/>
    </row>
    <row r="49" spans="1:14" s="11" customFormat="1" x14ac:dyDescent="0.25">
      <c r="A49" s="8"/>
      <c r="B49" s="12"/>
      <c r="C49" s="12"/>
      <c r="D49" s="8"/>
      <c r="E49" s="8"/>
      <c r="F49" s="8"/>
      <c r="G49" s="8"/>
      <c r="H49" s="10"/>
      <c r="I49" s="8"/>
      <c r="J49" s="8"/>
      <c r="K49" s="8"/>
      <c r="L49" s="8"/>
      <c r="N49" s="8"/>
    </row>
    <row r="50" spans="1:14" s="11" customFormat="1" x14ac:dyDescent="0.25">
      <c r="A50" s="8"/>
      <c r="B50" s="12"/>
      <c r="C50" s="12"/>
      <c r="D50" s="8"/>
      <c r="E50" s="8"/>
      <c r="F50" s="8"/>
      <c r="G50" s="8"/>
      <c r="H50" s="10"/>
      <c r="I50" s="8"/>
      <c r="J50" s="8"/>
      <c r="K50" s="8"/>
      <c r="L50" s="8"/>
      <c r="N50" s="8"/>
    </row>
    <row r="51" spans="1:14" s="11" customFormat="1" x14ac:dyDescent="0.25">
      <c r="A51" s="8"/>
      <c r="B51" s="12"/>
      <c r="C51" s="12"/>
      <c r="D51" s="8"/>
      <c r="E51" s="8"/>
      <c r="F51" s="8"/>
      <c r="G51" s="8"/>
      <c r="H51" s="10"/>
      <c r="I51" s="8"/>
      <c r="J51" s="8"/>
      <c r="K51" s="8"/>
      <c r="L51" s="8"/>
      <c r="N51" s="8"/>
    </row>
    <row r="52" spans="1:14" s="11" customFormat="1" x14ac:dyDescent="0.25">
      <c r="A52" s="8"/>
      <c r="B52" s="12"/>
      <c r="C52" s="12"/>
      <c r="D52" s="8"/>
      <c r="E52" s="8"/>
      <c r="F52" s="8"/>
      <c r="G52" s="8"/>
      <c r="H52" s="10"/>
      <c r="I52" s="8"/>
      <c r="J52" s="8"/>
      <c r="K52" s="8"/>
      <c r="L52" s="8"/>
      <c r="N52" s="8"/>
    </row>
    <row r="53" spans="1:14" s="11" customFormat="1" x14ac:dyDescent="0.25">
      <c r="A53" s="8"/>
      <c r="B53" s="12"/>
      <c r="C53" s="12"/>
      <c r="D53" s="8"/>
      <c r="E53" s="8"/>
      <c r="F53" s="8"/>
      <c r="G53" s="8"/>
      <c r="H53" s="10"/>
      <c r="I53" s="8"/>
      <c r="J53" s="8"/>
      <c r="K53" s="8"/>
      <c r="L53" s="8"/>
      <c r="N53" s="8"/>
    </row>
    <row r="54" spans="1:14" s="11" customFormat="1" x14ac:dyDescent="0.25">
      <c r="A54" s="8"/>
      <c r="B54" s="12"/>
      <c r="C54" s="12"/>
      <c r="D54" s="8"/>
      <c r="E54" s="8"/>
      <c r="F54" s="8"/>
      <c r="G54" s="8"/>
      <c r="H54" s="10"/>
      <c r="I54" s="8"/>
      <c r="J54" s="8"/>
      <c r="K54" s="8"/>
      <c r="L54" s="8"/>
      <c r="N54" s="8"/>
    </row>
    <row r="55" spans="1:14" s="11" customFormat="1" x14ac:dyDescent="0.25">
      <c r="A55" s="8"/>
      <c r="B55" s="9"/>
      <c r="C55" s="8"/>
      <c r="D55" s="8"/>
      <c r="E55" s="8"/>
      <c r="F55" s="8"/>
      <c r="G55" s="8"/>
      <c r="H55" s="10"/>
      <c r="I55" s="8"/>
      <c r="J55" s="8"/>
      <c r="K55" s="8"/>
      <c r="L55" s="8"/>
      <c r="N55" s="8"/>
    </row>
    <row r="56" spans="1:14" s="11" customFormat="1" x14ac:dyDescent="0.25">
      <c r="A56" s="8"/>
      <c r="B56" s="9"/>
      <c r="C56" s="8"/>
      <c r="D56" s="8"/>
      <c r="E56" s="8"/>
      <c r="F56" s="8"/>
      <c r="G56" s="8"/>
      <c r="H56" s="10"/>
      <c r="I56" s="8"/>
      <c r="J56" s="8"/>
      <c r="K56" s="8"/>
      <c r="L56" s="8"/>
      <c r="N56" s="8"/>
    </row>
    <row r="57" spans="1:14" s="11" customFormat="1" x14ac:dyDescent="0.25">
      <c r="A57" s="8"/>
      <c r="B57" s="9"/>
      <c r="C57" s="8"/>
      <c r="D57" s="8"/>
      <c r="E57" s="8"/>
      <c r="F57" s="8"/>
      <c r="G57" s="8"/>
      <c r="H57" s="10"/>
      <c r="I57" s="8"/>
      <c r="J57" s="8"/>
      <c r="K57" s="8"/>
      <c r="L57" s="8"/>
      <c r="N57" s="8"/>
    </row>
    <row r="58" spans="1:14" s="11" customFormat="1" x14ac:dyDescent="0.25">
      <c r="A58" s="8"/>
      <c r="B58" s="9"/>
      <c r="C58" s="8"/>
      <c r="D58" s="8"/>
      <c r="E58" s="8"/>
      <c r="F58" s="8"/>
      <c r="G58" s="8"/>
      <c r="H58" s="10"/>
      <c r="I58" s="8"/>
      <c r="J58" s="8"/>
      <c r="K58" s="8"/>
      <c r="L58" s="8"/>
      <c r="N58" s="8"/>
    </row>
    <row r="59" spans="1:14" s="11" customFormat="1" x14ac:dyDescent="0.25">
      <c r="A59" s="8"/>
      <c r="B59" s="9"/>
      <c r="C59" s="8"/>
      <c r="D59" s="8"/>
      <c r="E59" s="8"/>
      <c r="F59" s="8"/>
      <c r="G59" s="8"/>
      <c r="H59" s="10"/>
      <c r="I59" s="8"/>
      <c r="J59" s="8"/>
      <c r="K59" s="8"/>
      <c r="L59" s="8"/>
      <c r="N59" s="8"/>
    </row>
    <row r="60" spans="1:14" s="11" customFormat="1" x14ac:dyDescent="0.25">
      <c r="A60" s="8"/>
      <c r="B60" s="9"/>
      <c r="C60" s="8"/>
      <c r="D60" s="8"/>
      <c r="E60" s="8"/>
      <c r="F60" s="8"/>
      <c r="G60" s="8"/>
      <c r="H60" s="10"/>
      <c r="I60" s="8"/>
      <c r="J60" s="8"/>
      <c r="K60" s="8"/>
      <c r="L60" s="8"/>
      <c r="N60" s="8"/>
    </row>
    <row r="61" spans="1:14" s="11" customFormat="1" x14ac:dyDescent="0.25">
      <c r="A61" s="8"/>
      <c r="B61" s="9"/>
      <c r="C61" s="8"/>
      <c r="D61" s="8"/>
      <c r="E61" s="8"/>
      <c r="F61" s="8"/>
      <c r="G61" s="8"/>
      <c r="H61" s="10"/>
      <c r="I61" s="8"/>
      <c r="J61" s="8"/>
      <c r="K61" s="8"/>
      <c r="L61" s="8"/>
      <c r="N61" s="8"/>
    </row>
    <row r="62" spans="1:14" s="11" customFormat="1" x14ac:dyDescent="0.25">
      <c r="A62" s="8"/>
      <c r="B62" s="9"/>
      <c r="C62" s="8"/>
      <c r="D62" s="8"/>
      <c r="E62" s="8"/>
      <c r="F62" s="8"/>
      <c r="G62" s="8"/>
      <c r="H62" s="10"/>
      <c r="I62" s="8"/>
      <c r="J62" s="8"/>
      <c r="K62" s="8"/>
      <c r="L62" s="8"/>
      <c r="N62" s="8"/>
    </row>
    <row r="63" spans="1:14" s="11" customFormat="1" x14ac:dyDescent="0.25">
      <c r="A63" s="8"/>
      <c r="B63" s="9"/>
      <c r="C63" s="8"/>
      <c r="D63" s="8"/>
      <c r="E63" s="8"/>
      <c r="F63" s="8"/>
      <c r="G63" s="8"/>
      <c r="H63" s="10"/>
      <c r="I63" s="8"/>
      <c r="J63" s="8"/>
      <c r="K63" s="8"/>
      <c r="L63" s="8"/>
      <c r="N63" s="8"/>
    </row>
    <row r="64" spans="1:14" s="11" customFormat="1" x14ac:dyDescent="0.25">
      <c r="A64" s="8"/>
      <c r="B64" s="9"/>
      <c r="C64" s="8"/>
      <c r="D64" s="8"/>
      <c r="E64" s="8"/>
      <c r="F64" s="8"/>
      <c r="G64" s="8"/>
      <c r="H64" s="10"/>
      <c r="I64" s="8"/>
      <c r="J64" s="8"/>
      <c r="K64" s="8"/>
      <c r="L64" s="8"/>
      <c r="N64" s="8"/>
    </row>
    <row r="65" spans="1:14" s="11" customFormat="1" x14ac:dyDescent="0.25">
      <c r="A65" s="8"/>
      <c r="B65" s="9"/>
      <c r="C65" s="8"/>
      <c r="D65" s="8"/>
      <c r="E65" s="8"/>
      <c r="F65" s="8"/>
      <c r="G65" s="8"/>
      <c r="H65" s="10"/>
      <c r="I65" s="8"/>
      <c r="J65" s="8"/>
      <c r="K65" s="8"/>
      <c r="L65" s="8"/>
      <c r="N65" s="8"/>
    </row>
    <row r="66" spans="1:14" s="11" customFormat="1" x14ac:dyDescent="0.25">
      <c r="A66" s="8"/>
      <c r="B66" s="9"/>
      <c r="C66" s="8"/>
      <c r="D66" s="8"/>
      <c r="E66" s="8"/>
      <c r="F66" s="8"/>
      <c r="G66" s="8"/>
      <c r="H66" s="10"/>
      <c r="I66" s="8"/>
      <c r="J66" s="8"/>
      <c r="K66" s="8"/>
      <c r="L66" s="8"/>
      <c r="N66" s="8"/>
    </row>
    <row r="67" spans="1:14" s="11" customFormat="1" x14ac:dyDescent="0.25">
      <c r="A67" s="8"/>
      <c r="B67" s="9"/>
      <c r="C67" s="8"/>
      <c r="D67" s="8"/>
      <c r="E67" s="8"/>
      <c r="F67" s="8"/>
      <c r="G67" s="8"/>
      <c r="H67" s="10"/>
      <c r="I67" s="8"/>
      <c r="J67" s="8"/>
      <c r="K67" s="8"/>
      <c r="L67" s="8"/>
      <c r="N67" s="8"/>
    </row>
    <row r="68" spans="1:14" s="11" customFormat="1" x14ac:dyDescent="0.25">
      <c r="A68" s="8"/>
      <c r="B68" s="9"/>
      <c r="C68" s="8"/>
      <c r="D68" s="8"/>
      <c r="E68" s="8"/>
      <c r="F68" s="8"/>
      <c r="G68" s="8"/>
      <c r="H68" s="10"/>
      <c r="I68" s="8"/>
      <c r="J68" s="8"/>
      <c r="K68" s="8"/>
      <c r="L68" s="8"/>
      <c r="N68" s="8"/>
    </row>
    <row r="69" spans="1:14" s="11" customFormat="1" x14ac:dyDescent="0.25">
      <c r="A69" s="8"/>
      <c r="B69" s="9"/>
      <c r="C69" s="8"/>
      <c r="D69" s="8"/>
      <c r="E69" s="8"/>
      <c r="F69" s="8"/>
      <c r="G69" s="8"/>
      <c r="H69" s="10"/>
      <c r="I69" s="8"/>
      <c r="J69" s="8"/>
      <c r="K69" s="8"/>
      <c r="L69" s="8"/>
      <c r="N69" s="8"/>
    </row>
    <row r="70" spans="1:14" s="11" customFormat="1" x14ac:dyDescent="0.25">
      <c r="A70" s="8"/>
      <c r="B70" s="9"/>
      <c r="C70" s="8"/>
      <c r="D70" s="8"/>
      <c r="E70" s="8"/>
      <c r="F70" s="8"/>
      <c r="G70" s="8"/>
      <c r="H70" s="10"/>
      <c r="I70" s="8"/>
      <c r="J70" s="8"/>
      <c r="K70" s="8"/>
      <c r="L70" s="8"/>
      <c r="N70" s="8"/>
    </row>
    <row r="71" spans="1:14" s="11" customFormat="1" x14ac:dyDescent="0.25">
      <c r="A71" s="8"/>
      <c r="B71" s="9"/>
      <c r="C71" s="8"/>
      <c r="D71" s="8"/>
      <c r="E71" s="8"/>
      <c r="F71" s="8"/>
      <c r="G71" s="8"/>
      <c r="H71" s="10"/>
      <c r="I71" s="8"/>
      <c r="J71" s="8"/>
      <c r="K71" s="8"/>
      <c r="L71" s="8"/>
      <c r="N71" s="8"/>
    </row>
    <row r="72" spans="1:14" s="11" customFormat="1" x14ac:dyDescent="0.25">
      <c r="A72" s="8"/>
      <c r="B72" s="9"/>
      <c r="C72" s="8"/>
      <c r="D72" s="8"/>
      <c r="E72" s="8"/>
      <c r="F72" s="8"/>
      <c r="G72" s="8"/>
      <c r="H72" s="10"/>
      <c r="I72" s="8"/>
      <c r="J72" s="8"/>
      <c r="K72" s="8"/>
      <c r="L72" s="8"/>
      <c r="N72" s="8"/>
    </row>
    <row r="73" spans="1:14" s="11" customFormat="1" x14ac:dyDescent="0.25">
      <c r="A73" s="8"/>
      <c r="B73" s="9"/>
      <c r="C73" s="8"/>
      <c r="D73" s="8"/>
      <c r="E73" s="8"/>
      <c r="F73" s="8"/>
      <c r="G73" s="8"/>
      <c r="H73" s="10"/>
      <c r="I73" s="8"/>
      <c r="J73" s="8"/>
      <c r="K73" s="8"/>
      <c r="L73" s="8"/>
      <c r="N73" s="8"/>
    </row>
    <row r="74" spans="1:14" s="11" customFormat="1" x14ac:dyDescent="0.25">
      <c r="A74" s="8"/>
      <c r="B74" s="9"/>
      <c r="C74" s="8"/>
      <c r="D74" s="8"/>
      <c r="E74" s="8"/>
      <c r="F74" s="8"/>
      <c r="G74" s="8"/>
      <c r="H74" s="10"/>
      <c r="I74" s="8"/>
      <c r="J74" s="8"/>
      <c r="K74" s="8"/>
      <c r="L74" s="8"/>
      <c r="N74" s="8"/>
    </row>
    <row r="75" spans="1:14" s="11" customFormat="1" x14ac:dyDescent="0.25">
      <c r="A75" s="8"/>
      <c r="B75" s="9"/>
      <c r="C75" s="8"/>
      <c r="D75" s="8"/>
      <c r="E75" s="8"/>
      <c r="F75" s="8"/>
      <c r="G75" s="8"/>
      <c r="H75" s="10"/>
      <c r="I75" s="8"/>
      <c r="J75" s="8"/>
      <c r="K75" s="8"/>
      <c r="L75" s="8"/>
      <c r="N75" s="8"/>
    </row>
    <row r="76" spans="1:14" s="11" customFormat="1" x14ac:dyDescent="0.25">
      <c r="A76" s="8"/>
      <c r="B76" s="9"/>
      <c r="C76" s="8"/>
      <c r="D76" s="8"/>
      <c r="E76" s="8"/>
      <c r="F76" s="8"/>
      <c r="G76" s="8"/>
      <c r="H76" s="10"/>
      <c r="I76" s="8"/>
      <c r="J76" s="8"/>
      <c r="K76" s="8"/>
      <c r="L76" s="8"/>
      <c r="N76" s="8"/>
    </row>
    <row r="77" spans="1:14" s="11" customFormat="1" x14ac:dyDescent="0.25">
      <c r="A77" s="8"/>
      <c r="B77" s="9"/>
      <c r="C77" s="8"/>
      <c r="D77" s="8"/>
      <c r="E77" s="8"/>
      <c r="F77" s="8"/>
      <c r="G77" s="8"/>
      <c r="H77" s="10"/>
      <c r="I77" s="8"/>
      <c r="J77" s="8"/>
      <c r="K77" s="8"/>
      <c r="L77" s="8"/>
      <c r="N77" s="8"/>
    </row>
    <row r="78" spans="1:14" s="11" customFormat="1" x14ac:dyDescent="0.25">
      <c r="A78" s="8"/>
      <c r="B78" s="9"/>
      <c r="C78" s="8"/>
      <c r="D78" s="8"/>
      <c r="E78" s="8"/>
      <c r="F78" s="8"/>
      <c r="G78" s="8"/>
      <c r="H78" s="10"/>
      <c r="I78" s="8"/>
      <c r="J78" s="8"/>
      <c r="K78" s="8"/>
      <c r="L78" s="8"/>
      <c r="N78" s="8"/>
    </row>
    <row r="79" spans="1:14" s="11" customFormat="1" x14ac:dyDescent="0.25">
      <c r="A79" s="8"/>
      <c r="B79" s="9"/>
      <c r="C79" s="8"/>
      <c r="D79" s="8"/>
      <c r="E79" s="8"/>
      <c r="F79" s="8"/>
      <c r="G79" s="8"/>
      <c r="H79" s="10"/>
      <c r="I79" s="8"/>
      <c r="J79" s="8"/>
      <c r="K79" s="8"/>
      <c r="L79" s="8"/>
      <c r="N79" s="8"/>
    </row>
    <row r="80" spans="1:14" s="11" customFormat="1" x14ac:dyDescent="0.25">
      <c r="A80" s="8"/>
      <c r="B80" s="9"/>
      <c r="C80" s="8"/>
      <c r="D80" s="8"/>
      <c r="E80" s="8"/>
      <c r="F80" s="8"/>
      <c r="G80" s="8"/>
      <c r="H80" s="10"/>
      <c r="I80" s="8"/>
      <c r="J80" s="8"/>
      <c r="K80" s="8"/>
      <c r="L80" s="8"/>
      <c r="N80" s="8"/>
    </row>
    <row r="81" spans="1:14" s="11" customFormat="1" x14ac:dyDescent="0.25">
      <c r="A81" s="8"/>
      <c r="B81" s="9"/>
      <c r="C81" s="8"/>
      <c r="D81" s="8"/>
      <c r="E81" s="8"/>
      <c r="F81" s="8"/>
      <c r="G81" s="8"/>
      <c r="H81" s="10"/>
      <c r="I81" s="8"/>
      <c r="J81" s="8"/>
      <c r="K81" s="8"/>
      <c r="L81" s="8"/>
      <c r="N81" s="8"/>
    </row>
    <row r="82" spans="1:14" s="11" customFormat="1" x14ac:dyDescent="0.25">
      <c r="A82" s="8"/>
      <c r="B82" s="9"/>
      <c r="C82" s="8"/>
      <c r="D82" s="8"/>
      <c r="E82" s="8"/>
      <c r="F82" s="8"/>
      <c r="G82" s="8"/>
      <c r="H82" s="10"/>
      <c r="I82" s="8"/>
      <c r="J82" s="8"/>
      <c r="K82" s="8"/>
      <c r="L82" s="8"/>
      <c r="N82" s="8"/>
    </row>
    <row r="83" spans="1:14" s="11" customFormat="1" x14ac:dyDescent="0.25">
      <c r="A83" s="8"/>
      <c r="B83" s="9"/>
      <c r="C83" s="8"/>
      <c r="D83" s="8"/>
      <c r="E83" s="8"/>
      <c r="F83" s="8"/>
      <c r="G83" s="8"/>
      <c r="H83" s="10"/>
      <c r="I83" s="8"/>
      <c r="J83" s="8"/>
      <c r="K83" s="8"/>
      <c r="L83" s="8"/>
      <c r="N83" s="8"/>
    </row>
    <row r="84" spans="1:14" s="11" customFormat="1" x14ac:dyDescent="0.25">
      <c r="A84" s="8"/>
      <c r="B84" s="9"/>
      <c r="C84" s="8"/>
      <c r="D84" s="8"/>
      <c r="E84" s="8"/>
      <c r="F84" s="8"/>
      <c r="G84" s="8"/>
      <c r="H84" s="10"/>
      <c r="I84" s="8"/>
      <c r="J84" s="8"/>
      <c r="K84" s="8"/>
      <c r="L84" s="8"/>
      <c r="N84" s="8"/>
    </row>
    <row r="85" spans="1:14" s="11" customFormat="1" x14ac:dyDescent="0.25">
      <c r="A85" s="8"/>
      <c r="B85" s="9"/>
      <c r="C85" s="8"/>
      <c r="D85" s="8"/>
      <c r="E85" s="8"/>
      <c r="F85" s="8"/>
      <c r="G85" s="8"/>
      <c r="H85" s="10"/>
      <c r="I85" s="8"/>
      <c r="J85" s="8"/>
      <c r="K85" s="8"/>
      <c r="L85" s="8"/>
      <c r="N85" s="8"/>
    </row>
    <row r="86" spans="1:14" s="11" customFormat="1" x14ac:dyDescent="0.25">
      <c r="A86" s="8"/>
      <c r="B86" s="9"/>
      <c r="C86" s="8"/>
      <c r="D86" s="8"/>
      <c r="E86" s="8"/>
      <c r="F86" s="8"/>
      <c r="G86" s="8"/>
      <c r="H86" s="10"/>
      <c r="I86" s="8"/>
      <c r="J86" s="8"/>
      <c r="K86" s="8"/>
      <c r="L86" s="8"/>
      <c r="N86" s="8"/>
    </row>
    <row r="87" spans="1:14" s="11" customFormat="1" x14ac:dyDescent="0.25">
      <c r="A87" s="8"/>
      <c r="B87" s="9"/>
      <c r="C87" s="8"/>
      <c r="D87" s="8"/>
      <c r="E87" s="8"/>
      <c r="F87" s="8"/>
      <c r="G87" s="8"/>
      <c r="H87" s="10"/>
      <c r="I87" s="8"/>
      <c r="J87" s="8"/>
      <c r="K87" s="8"/>
      <c r="L87" s="8"/>
      <c r="N87" s="8"/>
    </row>
    <row r="88" spans="1:14" s="11" customFormat="1" x14ac:dyDescent="0.25">
      <c r="A88" s="8"/>
      <c r="B88" s="9"/>
      <c r="C88" s="8"/>
      <c r="D88" s="8"/>
      <c r="E88" s="8"/>
      <c r="F88" s="8"/>
      <c r="G88" s="8"/>
      <c r="H88" s="10"/>
      <c r="I88" s="8"/>
      <c r="J88" s="8"/>
      <c r="K88" s="8"/>
      <c r="L88" s="8"/>
      <c r="N88" s="8"/>
    </row>
    <row r="89" spans="1:14" s="11" customFormat="1" x14ac:dyDescent="0.25">
      <c r="A89" s="8"/>
      <c r="B89" s="9"/>
      <c r="C89" s="8"/>
      <c r="D89" s="8"/>
      <c r="E89" s="8"/>
      <c r="F89" s="8"/>
      <c r="G89" s="8"/>
      <c r="H89" s="10"/>
      <c r="I89" s="8"/>
      <c r="J89" s="8"/>
      <c r="K89" s="8"/>
      <c r="L89" s="8"/>
      <c r="N89" s="8"/>
    </row>
    <row r="90" spans="1:14" s="11" customFormat="1" x14ac:dyDescent="0.25">
      <c r="A90" s="8"/>
      <c r="B90" s="9"/>
      <c r="C90" s="8"/>
      <c r="D90" s="8"/>
      <c r="E90" s="8"/>
      <c r="F90" s="8"/>
      <c r="G90" s="8"/>
      <c r="H90" s="10"/>
      <c r="I90" s="8"/>
      <c r="J90" s="8"/>
      <c r="K90" s="8"/>
      <c r="L90" s="8"/>
      <c r="N90" s="8"/>
    </row>
    <row r="91" spans="1:14" s="11" customFormat="1" x14ac:dyDescent="0.25">
      <c r="A91" s="8"/>
      <c r="B91" s="9"/>
      <c r="C91" s="8"/>
      <c r="D91" s="8"/>
      <c r="E91" s="8"/>
      <c r="F91" s="8"/>
      <c r="G91" s="8"/>
      <c r="H91" s="10"/>
      <c r="I91" s="8"/>
      <c r="J91" s="8"/>
      <c r="K91" s="8"/>
      <c r="L91" s="8"/>
      <c r="N91" s="8"/>
    </row>
    <row r="92" spans="1:14" s="11" customFormat="1" x14ac:dyDescent="0.25">
      <c r="A92" s="8"/>
      <c r="B92" s="9"/>
      <c r="C92" s="8"/>
      <c r="D92" s="8"/>
      <c r="E92" s="8"/>
      <c r="F92" s="8"/>
      <c r="G92" s="8"/>
      <c r="H92" s="10"/>
      <c r="I92" s="8"/>
      <c r="J92" s="8"/>
      <c r="K92" s="8"/>
      <c r="L92" s="8"/>
      <c r="N92" s="8"/>
    </row>
    <row r="93" spans="1:14" s="11" customFormat="1" x14ac:dyDescent="0.25">
      <c r="A93" s="8"/>
      <c r="B93" s="9"/>
      <c r="C93" s="8"/>
      <c r="D93" s="8"/>
      <c r="E93" s="8"/>
      <c r="F93" s="8"/>
      <c r="G93" s="8"/>
      <c r="H93" s="10"/>
      <c r="I93" s="8"/>
      <c r="J93" s="8"/>
      <c r="K93" s="8"/>
      <c r="L93" s="8"/>
      <c r="N93" s="8"/>
    </row>
    <row r="94" spans="1:14" s="11" customFormat="1" x14ac:dyDescent="0.25">
      <c r="A94" s="8"/>
      <c r="B94" s="9"/>
      <c r="C94" s="8"/>
      <c r="D94" s="8"/>
      <c r="E94" s="8"/>
      <c r="F94" s="8"/>
      <c r="G94" s="8"/>
      <c r="H94" s="10"/>
      <c r="I94" s="8"/>
      <c r="J94" s="8"/>
      <c r="K94" s="8"/>
      <c r="L94" s="8"/>
      <c r="N94" s="8"/>
    </row>
    <row r="95" spans="1:14" s="11" customFormat="1" x14ac:dyDescent="0.25">
      <c r="A95" s="8"/>
      <c r="B95" s="9"/>
      <c r="C95" s="8"/>
      <c r="D95" s="8"/>
      <c r="E95" s="8"/>
      <c r="F95" s="8"/>
      <c r="G95" s="8"/>
      <c r="H95" s="10"/>
      <c r="I95" s="8"/>
      <c r="J95" s="8"/>
      <c r="K95" s="8"/>
      <c r="L95" s="8"/>
      <c r="N95" s="8"/>
    </row>
    <row r="96" spans="1:14" s="11" customFormat="1" x14ac:dyDescent="0.25">
      <c r="A96" s="8"/>
      <c r="B96" s="9"/>
      <c r="C96" s="8"/>
      <c r="D96" s="8"/>
      <c r="E96" s="8"/>
      <c r="F96" s="8"/>
      <c r="G96" s="8"/>
      <c r="H96" s="10"/>
      <c r="I96" s="8"/>
      <c r="J96" s="8"/>
      <c r="K96" s="8"/>
      <c r="L96" s="8"/>
      <c r="N96" s="8"/>
    </row>
    <row r="97" spans="1:14" s="11" customFormat="1" x14ac:dyDescent="0.25">
      <c r="A97" s="8"/>
      <c r="B97" s="9"/>
      <c r="C97" s="8"/>
      <c r="D97" s="8"/>
      <c r="E97" s="8"/>
      <c r="F97" s="8"/>
      <c r="G97" s="8"/>
      <c r="H97" s="10"/>
      <c r="I97" s="8"/>
      <c r="J97" s="8"/>
      <c r="K97" s="8"/>
      <c r="L97" s="8"/>
      <c r="N97" s="8"/>
    </row>
    <row r="98" spans="1:14" s="11" customFormat="1" x14ac:dyDescent="0.25">
      <c r="A98" s="8"/>
      <c r="B98" s="9"/>
      <c r="C98" s="8"/>
      <c r="D98" s="8"/>
      <c r="E98" s="8"/>
      <c r="F98" s="8"/>
      <c r="G98" s="8"/>
      <c r="H98" s="10"/>
      <c r="I98" s="8"/>
      <c r="J98" s="8"/>
      <c r="K98" s="8"/>
      <c r="L98" s="8"/>
      <c r="N98" s="8"/>
    </row>
    <row r="99" spans="1:14" s="11" customFormat="1" x14ac:dyDescent="0.25">
      <c r="A99" s="8"/>
      <c r="B99" s="9"/>
      <c r="C99" s="8"/>
      <c r="D99" s="8"/>
      <c r="E99" s="8"/>
      <c r="F99" s="8"/>
      <c r="G99" s="8"/>
      <c r="H99" s="10"/>
      <c r="I99" s="8"/>
      <c r="J99" s="8"/>
      <c r="K99" s="8"/>
      <c r="L99" s="8"/>
      <c r="N99" s="8"/>
    </row>
    <row r="100" spans="1:14" s="11" customFormat="1" x14ac:dyDescent="0.25">
      <c r="A100" s="8"/>
      <c r="B100" s="9"/>
      <c r="C100" s="8"/>
      <c r="D100" s="8"/>
      <c r="E100" s="8"/>
      <c r="F100" s="8"/>
      <c r="G100" s="8"/>
      <c r="H100" s="10"/>
      <c r="I100" s="8"/>
      <c r="J100" s="8"/>
      <c r="K100" s="8"/>
      <c r="L100" s="8"/>
      <c r="N100" s="8"/>
    </row>
    <row r="101" spans="1:14" s="11" customFormat="1" x14ac:dyDescent="0.25">
      <c r="A101" s="8"/>
      <c r="B101" s="9"/>
      <c r="C101" s="8"/>
      <c r="D101" s="8"/>
      <c r="E101" s="8"/>
      <c r="F101" s="8"/>
      <c r="G101" s="8"/>
      <c r="H101" s="10"/>
      <c r="I101" s="8"/>
      <c r="J101" s="8"/>
      <c r="K101" s="8"/>
      <c r="L101" s="8"/>
      <c r="N101" s="8"/>
    </row>
    <row r="102" spans="1:14" s="11" customFormat="1" x14ac:dyDescent="0.25">
      <c r="A102" s="8"/>
      <c r="B102" s="9"/>
      <c r="C102" s="8"/>
      <c r="D102" s="8"/>
      <c r="E102" s="8"/>
      <c r="F102" s="8"/>
      <c r="G102" s="8"/>
      <c r="H102" s="10"/>
      <c r="I102" s="8"/>
      <c r="J102" s="8"/>
      <c r="K102" s="8"/>
      <c r="L102" s="8"/>
      <c r="N102" s="8"/>
    </row>
    <row r="103" spans="1:14" s="11" customFormat="1" x14ac:dyDescent="0.25">
      <c r="A103" s="8"/>
      <c r="B103" s="9"/>
      <c r="C103" s="8"/>
      <c r="D103" s="8"/>
      <c r="E103" s="8"/>
      <c r="F103" s="8"/>
      <c r="G103" s="8"/>
      <c r="H103" s="10"/>
      <c r="I103" s="8"/>
      <c r="J103" s="8"/>
      <c r="K103" s="8"/>
      <c r="L103" s="8"/>
      <c r="N103" s="8"/>
    </row>
    <row r="104" spans="1:14" s="11" customFormat="1" x14ac:dyDescent="0.25">
      <c r="A104" s="8"/>
      <c r="B104" s="9"/>
      <c r="C104" s="8"/>
      <c r="D104" s="8"/>
      <c r="E104" s="8"/>
      <c r="F104" s="8"/>
      <c r="G104" s="8"/>
      <c r="H104" s="10"/>
      <c r="I104" s="8"/>
      <c r="J104" s="8"/>
      <c r="K104" s="8"/>
      <c r="L104" s="8"/>
      <c r="N104" s="8"/>
    </row>
    <row r="105" spans="1:14" x14ac:dyDescent="0.25">
      <c r="A105" s="8"/>
      <c r="B105" s="9"/>
      <c r="C105" s="8"/>
      <c r="D105" s="8"/>
      <c r="E105" s="8"/>
      <c r="F105" s="8"/>
      <c r="G105" s="8"/>
      <c r="H105" s="10"/>
      <c r="I105" s="8"/>
      <c r="J105" s="8"/>
      <c r="K105" s="8"/>
      <c r="L105" s="8"/>
      <c r="M105" s="11"/>
      <c r="N105" s="8"/>
    </row>
    <row r="106" spans="1:14" x14ac:dyDescent="0.25">
      <c r="A106" s="8"/>
      <c r="B106" s="9"/>
      <c r="C106" s="8"/>
      <c r="D106" s="8"/>
      <c r="E106" s="8"/>
      <c r="F106" s="8"/>
      <c r="G106" s="8"/>
      <c r="H106" s="10"/>
      <c r="I106" s="8"/>
      <c r="J106" s="8"/>
      <c r="K106" s="8"/>
      <c r="L106" s="8"/>
      <c r="M106" s="11"/>
      <c r="N106" s="8"/>
    </row>
  </sheetData>
  <mergeCells count="10">
    <mergeCell ref="A1:N1"/>
    <mergeCell ref="A2:N2"/>
    <mergeCell ref="I5:K5"/>
    <mergeCell ref="A14:C14"/>
    <mergeCell ref="L5:M5"/>
    <mergeCell ref="A13:C13"/>
    <mergeCell ref="A5:A6"/>
    <mergeCell ref="B5:B6"/>
    <mergeCell ref="C5:C6"/>
    <mergeCell ref="F5:H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2"/>
  <sheetViews>
    <sheetView workbookViewId="0">
      <pane ySplit="4" topLeftCell="A5" activePane="bottomLeft" state="frozen"/>
      <selection pane="bottomLeft" sqref="A1:N2"/>
    </sheetView>
  </sheetViews>
  <sheetFormatPr baseColWidth="10" defaultRowHeight="15" x14ac:dyDescent="0.25"/>
  <cols>
    <col min="1" max="1" width="14.5703125" style="2" customWidth="1"/>
    <col min="2" max="2" width="30.140625" style="3" bestFit="1" customWidth="1"/>
    <col min="3" max="3" width="10.85546875" style="2"/>
    <col min="4" max="5" width="13.7109375" style="7" customWidth="1"/>
    <col min="6" max="6" width="6" style="2" customWidth="1"/>
    <col min="7" max="7" width="5.7109375" style="7" customWidth="1"/>
    <col min="8" max="8" width="7.28515625" style="7" customWidth="1"/>
    <col min="9" max="9" width="7.28515625" style="2" customWidth="1"/>
    <col min="10" max="10" width="7.28515625" style="7" customWidth="1"/>
    <col min="11" max="11" width="6.28515625" style="7" customWidth="1"/>
    <col min="12" max="12" width="6.28515625" style="72" customWidth="1"/>
    <col min="13" max="13" width="9.28515625" style="7" customWidth="1"/>
    <col min="14" max="14" width="13.7109375" style="2" customWidth="1"/>
  </cols>
  <sheetData>
    <row r="1" spans="1:14" ht="28.5" x14ac:dyDescent="0.25">
      <c r="A1" s="138" t="s">
        <v>314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4" ht="18.75" x14ac:dyDescent="0.25">
      <c r="A2" s="145" t="s">
        <v>317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x14ac:dyDescent="0.25">
      <c r="B3" s="9"/>
      <c r="E3" s="2"/>
    </row>
    <row r="4" spans="1:14" s="1" customFormat="1" ht="15.75" thickBot="1" x14ac:dyDescent="0.3">
      <c r="A4" s="2"/>
      <c r="B4" s="3"/>
      <c r="C4" s="2"/>
      <c r="D4" s="7"/>
      <c r="E4" s="2"/>
      <c r="F4" s="2"/>
      <c r="G4" s="7"/>
      <c r="H4" s="7"/>
      <c r="I4" s="2"/>
      <c r="J4" s="7"/>
      <c r="K4" s="7"/>
      <c r="L4" s="72"/>
      <c r="M4" s="7"/>
      <c r="N4" s="2"/>
    </row>
    <row r="5" spans="1:14" ht="30" x14ac:dyDescent="0.25">
      <c r="A5" s="122" t="s">
        <v>0</v>
      </c>
      <c r="B5" s="124" t="s">
        <v>1</v>
      </c>
      <c r="C5" s="124" t="s">
        <v>2</v>
      </c>
      <c r="D5" s="48" t="s">
        <v>15</v>
      </c>
      <c r="E5" s="48" t="s">
        <v>16</v>
      </c>
      <c r="F5" s="124" t="s">
        <v>17</v>
      </c>
      <c r="G5" s="124"/>
      <c r="H5" s="124"/>
      <c r="I5" s="124" t="s">
        <v>18</v>
      </c>
      <c r="J5" s="124"/>
      <c r="K5" s="124"/>
      <c r="L5" s="134" t="s">
        <v>20</v>
      </c>
      <c r="M5" s="135"/>
      <c r="N5" s="23" t="s">
        <v>19</v>
      </c>
    </row>
    <row r="6" spans="1:14" ht="15.75" thickBot="1" x14ac:dyDescent="0.3">
      <c r="A6" s="123"/>
      <c r="B6" s="125"/>
      <c r="C6" s="125"/>
      <c r="D6" s="32" t="s">
        <v>22</v>
      </c>
      <c r="E6" s="32" t="s">
        <v>22</v>
      </c>
      <c r="F6" s="31" t="s">
        <v>21</v>
      </c>
      <c r="G6" s="32" t="s">
        <v>22</v>
      </c>
      <c r="H6" s="32" t="s">
        <v>23</v>
      </c>
      <c r="I6" s="31" t="s">
        <v>21</v>
      </c>
      <c r="J6" s="32" t="s">
        <v>22</v>
      </c>
      <c r="K6" s="32" t="s">
        <v>23</v>
      </c>
      <c r="L6" s="76" t="s">
        <v>21</v>
      </c>
      <c r="M6" s="32" t="s">
        <v>22</v>
      </c>
      <c r="N6" s="33" t="s">
        <v>22</v>
      </c>
    </row>
    <row r="7" spans="1:14" x14ac:dyDescent="0.25">
      <c r="A7" s="129" t="s">
        <v>11</v>
      </c>
      <c r="B7" s="50" t="s">
        <v>12</v>
      </c>
      <c r="C7" s="51" t="s">
        <v>31</v>
      </c>
      <c r="D7" s="52"/>
      <c r="E7" s="52">
        <f>3*(1*2.28)</f>
        <v>6.84</v>
      </c>
      <c r="F7" s="51"/>
      <c r="G7" s="52"/>
      <c r="H7" s="52"/>
      <c r="I7" s="51"/>
      <c r="J7" s="52"/>
      <c r="K7" s="52"/>
      <c r="L7" s="77"/>
      <c r="M7" s="52"/>
      <c r="N7" s="53"/>
    </row>
    <row r="8" spans="1:14" x14ac:dyDescent="0.25">
      <c r="A8" s="101"/>
      <c r="B8" s="17" t="s">
        <v>32</v>
      </c>
      <c r="C8" s="16" t="s">
        <v>33</v>
      </c>
      <c r="D8" s="20"/>
      <c r="E8" s="20"/>
      <c r="F8" s="16">
        <v>4</v>
      </c>
      <c r="G8" s="20">
        <f>0.73*(1.44+0.7)</f>
        <v>1.5621999999999998</v>
      </c>
      <c r="H8" s="20">
        <f t="shared" ref="H8:H70" si="0">F8*G8</f>
        <v>6.2487999999999992</v>
      </c>
      <c r="I8" s="16"/>
      <c r="J8" s="20"/>
      <c r="K8" s="20"/>
      <c r="L8" s="78">
        <v>1</v>
      </c>
      <c r="M8" s="139">
        <f>0.68*1.78</f>
        <v>1.2104000000000001</v>
      </c>
      <c r="N8" s="25"/>
    </row>
    <row r="9" spans="1:14" x14ac:dyDescent="0.25">
      <c r="A9" s="101"/>
      <c r="B9" s="99" t="s">
        <v>34</v>
      </c>
      <c r="C9" s="98" t="s">
        <v>35</v>
      </c>
      <c r="D9" s="20"/>
      <c r="E9" s="20"/>
      <c r="F9" s="16"/>
      <c r="G9" s="20"/>
      <c r="H9" s="20">
        <f t="shared" si="0"/>
        <v>0</v>
      </c>
      <c r="I9" s="16">
        <v>2</v>
      </c>
      <c r="J9" s="20">
        <f>0.77*(1.46+0.7)</f>
        <v>1.6632000000000002</v>
      </c>
      <c r="K9" s="20">
        <f>I9*J9</f>
        <v>3.3264000000000005</v>
      </c>
      <c r="L9" s="78"/>
      <c r="M9" s="20"/>
      <c r="N9" s="25"/>
    </row>
    <row r="10" spans="1:14" x14ac:dyDescent="0.25">
      <c r="A10" s="101"/>
      <c r="B10" s="99"/>
      <c r="C10" s="98"/>
      <c r="D10" s="20"/>
      <c r="E10" s="20"/>
      <c r="F10" s="16"/>
      <c r="G10" s="20"/>
      <c r="H10" s="20">
        <f t="shared" si="0"/>
        <v>0</v>
      </c>
      <c r="I10" s="16">
        <v>1</v>
      </c>
      <c r="J10" s="20">
        <f>0.77*2.25</f>
        <v>1.7324999999999999</v>
      </c>
      <c r="K10" s="20">
        <f>I10*J10</f>
        <v>1.7324999999999999</v>
      </c>
      <c r="L10" s="78"/>
      <c r="M10" s="20"/>
      <c r="N10" s="25"/>
    </row>
    <row r="11" spans="1:14" x14ac:dyDescent="0.25">
      <c r="A11" s="101"/>
      <c r="B11" s="99" t="s">
        <v>37</v>
      </c>
      <c r="C11" s="98" t="s">
        <v>36</v>
      </c>
      <c r="D11" s="97"/>
      <c r="E11" s="97">
        <f>1.83*1.55</f>
        <v>2.8365</v>
      </c>
      <c r="F11" s="16"/>
      <c r="G11" s="20"/>
      <c r="H11" s="20">
        <f t="shared" si="0"/>
        <v>0</v>
      </c>
      <c r="I11" s="16">
        <v>1</v>
      </c>
      <c r="J11" s="20">
        <f>0.77*(1.46+0.7)</f>
        <v>1.6632000000000002</v>
      </c>
      <c r="K11" s="20">
        <f>I11*J11</f>
        <v>1.6632000000000002</v>
      </c>
      <c r="L11" s="78"/>
      <c r="M11" s="20"/>
      <c r="N11" s="25"/>
    </row>
    <row r="12" spans="1:14" x14ac:dyDescent="0.25">
      <c r="A12" s="101"/>
      <c r="B12" s="99"/>
      <c r="C12" s="98"/>
      <c r="D12" s="97"/>
      <c r="E12" s="97"/>
      <c r="F12" s="16"/>
      <c r="G12" s="20"/>
      <c r="H12" s="20"/>
      <c r="I12" s="16">
        <v>2</v>
      </c>
      <c r="J12" s="20">
        <f>0.77*2.25</f>
        <v>1.7324999999999999</v>
      </c>
      <c r="K12" s="20">
        <f>I12*J12</f>
        <v>3.4649999999999999</v>
      </c>
      <c r="L12" s="78"/>
      <c r="M12" s="20"/>
      <c r="N12" s="25"/>
    </row>
    <row r="13" spans="1:14" x14ac:dyDescent="0.25">
      <c r="A13" s="101"/>
      <c r="B13" s="99" t="s">
        <v>41</v>
      </c>
      <c r="C13" s="98" t="s">
        <v>38</v>
      </c>
      <c r="D13" s="97"/>
      <c r="E13" s="97">
        <f>1.83*5.77</f>
        <v>10.559099999999999</v>
      </c>
      <c r="F13" s="16"/>
      <c r="G13" s="20"/>
      <c r="H13" s="20">
        <f t="shared" si="0"/>
        <v>0</v>
      </c>
      <c r="I13" s="16">
        <v>1</v>
      </c>
      <c r="J13" s="20">
        <f t="shared" ref="J13" si="1">0.77*(1.46+0.7)</f>
        <v>1.6632000000000002</v>
      </c>
      <c r="K13" s="20">
        <f t="shared" ref="K13:K77" si="2">I13*J13</f>
        <v>1.6632000000000002</v>
      </c>
      <c r="L13" s="78"/>
      <c r="M13" s="20"/>
      <c r="N13" s="25"/>
    </row>
    <row r="14" spans="1:14" x14ac:dyDescent="0.25">
      <c r="A14" s="101"/>
      <c r="B14" s="99"/>
      <c r="C14" s="98"/>
      <c r="D14" s="97"/>
      <c r="E14" s="97"/>
      <c r="F14" s="16"/>
      <c r="G14" s="20"/>
      <c r="H14" s="20"/>
      <c r="I14" s="16">
        <v>3</v>
      </c>
      <c r="J14" s="20">
        <f t="shared" ref="J14" si="3">0.77*2.25</f>
        <v>1.7324999999999999</v>
      </c>
      <c r="K14" s="20">
        <f t="shared" si="2"/>
        <v>5.1974999999999998</v>
      </c>
      <c r="L14" s="78"/>
      <c r="M14" s="20"/>
      <c r="N14" s="25"/>
    </row>
    <row r="15" spans="1:14" x14ac:dyDescent="0.25">
      <c r="A15" s="101"/>
      <c r="B15" s="17" t="s">
        <v>42</v>
      </c>
      <c r="C15" s="16" t="s">
        <v>39</v>
      </c>
      <c r="D15" s="20">
        <f>1.09*3.78</f>
        <v>4.1202000000000005</v>
      </c>
      <c r="E15" s="20">
        <f>1.83*1.92</f>
        <v>3.5135999999999998</v>
      </c>
      <c r="F15" s="16"/>
      <c r="G15" s="20"/>
      <c r="H15" s="20">
        <f t="shared" si="0"/>
        <v>0</v>
      </c>
      <c r="I15" s="16"/>
      <c r="J15" s="20"/>
      <c r="K15" s="20"/>
      <c r="L15" s="78"/>
      <c r="M15" s="20"/>
      <c r="N15" s="25"/>
    </row>
    <row r="16" spans="1:14" x14ac:dyDescent="0.25">
      <c r="A16" s="101"/>
      <c r="B16" s="17" t="s">
        <v>43</v>
      </c>
      <c r="C16" s="16" t="s">
        <v>40</v>
      </c>
      <c r="D16" s="20"/>
      <c r="E16" s="20">
        <f>1.83*0.59</f>
        <v>1.0796999999999999</v>
      </c>
      <c r="F16" s="16">
        <v>3</v>
      </c>
      <c r="G16" s="20">
        <f>0.73*(1.44+0.7)</f>
        <v>1.5621999999999998</v>
      </c>
      <c r="H16" s="20">
        <f t="shared" si="0"/>
        <v>4.6865999999999994</v>
      </c>
      <c r="I16" s="16"/>
      <c r="J16" s="20"/>
      <c r="K16" s="20"/>
      <c r="L16" s="78"/>
      <c r="M16" s="20"/>
      <c r="N16" s="25"/>
    </row>
    <row r="17" spans="1:14" x14ac:dyDescent="0.25">
      <c r="A17" s="101"/>
      <c r="B17" s="17" t="s">
        <v>43</v>
      </c>
      <c r="C17" s="16" t="s">
        <v>44</v>
      </c>
      <c r="D17" s="20"/>
      <c r="E17" s="20">
        <f>1.83*0.5</f>
        <v>0.91500000000000004</v>
      </c>
      <c r="F17" s="16">
        <v>2</v>
      </c>
      <c r="G17" s="20">
        <f>0.73*(1.44+0.7)</f>
        <v>1.5621999999999998</v>
      </c>
      <c r="H17" s="20">
        <f t="shared" si="0"/>
        <v>3.1243999999999996</v>
      </c>
      <c r="I17" s="16"/>
      <c r="J17" s="20"/>
      <c r="K17" s="20"/>
      <c r="L17" s="78"/>
      <c r="M17" s="20"/>
      <c r="N17" s="25"/>
    </row>
    <row r="18" spans="1:14" x14ac:dyDescent="0.25">
      <c r="A18" s="101"/>
      <c r="B18" s="99" t="s">
        <v>43</v>
      </c>
      <c r="C18" s="98" t="s">
        <v>46</v>
      </c>
      <c r="D18" s="97"/>
      <c r="E18" s="97">
        <f>1.83*1.8</f>
        <v>3.294</v>
      </c>
      <c r="F18" s="16"/>
      <c r="G18" s="20"/>
      <c r="H18" s="20"/>
      <c r="I18" s="16">
        <v>3</v>
      </c>
      <c r="J18" s="20">
        <f t="shared" ref="J18" si="4">0.77*(1.46+0.7)</f>
        <v>1.6632000000000002</v>
      </c>
      <c r="K18" s="20">
        <f t="shared" si="2"/>
        <v>4.9896000000000011</v>
      </c>
      <c r="L18" s="78"/>
      <c r="M18" s="20"/>
      <c r="N18" s="25"/>
    </row>
    <row r="19" spans="1:14" x14ac:dyDescent="0.25">
      <c r="A19" s="101"/>
      <c r="B19" s="99"/>
      <c r="C19" s="98"/>
      <c r="D19" s="97"/>
      <c r="E19" s="97"/>
      <c r="F19" s="16"/>
      <c r="G19" s="20"/>
      <c r="H19" s="20"/>
      <c r="I19" s="16">
        <v>2</v>
      </c>
      <c r="J19" s="20">
        <f t="shared" ref="J19" si="5">0.77*2.25</f>
        <v>1.7324999999999999</v>
      </c>
      <c r="K19" s="20">
        <f t="shared" si="2"/>
        <v>3.4649999999999999</v>
      </c>
      <c r="L19" s="78"/>
      <c r="M19" s="20"/>
      <c r="N19" s="25"/>
    </row>
    <row r="20" spans="1:14" x14ac:dyDescent="0.25">
      <c r="A20" s="101"/>
      <c r="B20" s="17" t="s">
        <v>43</v>
      </c>
      <c r="C20" s="16" t="s">
        <v>48</v>
      </c>
      <c r="D20" s="20"/>
      <c r="E20" s="20">
        <f>1.83*0.9</f>
        <v>1.647</v>
      </c>
      <c r="F20" s="16">
        <v>2</v>
      </c>
      <c r="G20" s="20">
        <f t="shared" ref="G20:G21" si="6">0.73*(1.44+0.7)</f>
        <v>1.5621999999999998</v>
      </c>
      <c r="H20" s="20">
        <f t="shared" si="0"/>
        <v>3.1243999999999996</v>
      </c>
      <c r="I20" s="16"/>
      <c r="J20" s="20"/>
      <c r="K20" s="20">
        <f t="shared" si="2"/>
        <v>0</v>
      </c>
      <c r="L20" s="78"/>
      <c r="M20" s="20"/>
      <c r="N20" s="25"/>
    </row>
    <row r="21" spans="1:14" x14ac:dyDescent="0.25">
      <c r="A21" s="101"/>
      <c r="B21" s="17" t="s">
        <v>77</v>
      </c>
      <c r="C21" s="16" t="s">
        <v>80</v>
      </c>
      <c r="D21" s="20"/>
      <c r="E21" s="20">
        <f>1.83*0.9</f>
        <v>1.647</v>
      </c>
      <c r="F21" s="16">
        <v>2</v>
      </c>
      <c r="G21" s="20">
        <f t="shared" si="6"/>
        <v>1.5621999999999998</v>
      </c>
      <c r="H21" s="20">
        <f t="shared" si="0"/>
        <v>3.1243999999999996</v>
      </c>
      <c r="I21" s="16"/>
      <c r="J21" s="20"/>
      <c r="K21" s="20">
        <f t="shared" si="2"/>
        <v>0</v>
      </c>
      <c r="L21" s="78"/>
      <c r="M21" s="20"/>
      <c r="N21" s="25"/>
    </row>
    <row r="22" spans="1:14" x14ac:dyDescent="0.25">
      <c r="A22" s="101"/>
      <c r="B22" s="17" t="s">
        <v>51</v>
      </c>
      <c r="C22" s="16" t="s">
        <v>49</v>
      </c>
      <c r="D22" s="20">
        <f>1.09*4</f>
        <v>4.3600000000000003</v>
      </c>
      <c r="E22" s="20">
        <f>1.83*(4.44+1.17)</f>
        <v>10.266300000000001</v>
      </c>
      <c r="F22" s="16"/>
      <c r="G22" s="20"/>
      <c r="H22" s="20">
        <f t="shared" si="0"/>
        <v>0</v>
      </c>
      <c r="I22" s="16">
        <v>1</v>
      </c>
      <c r="J22" s="20">
        <f>0.77*(1.46+0.7)</f>
        <v>1.6632000000000002</v>
      </c>
      <c r="K22" s="20">
        <f t="shared" si="2"/>
        <v>1.6632000000000002</v>
      </c>
      <c r="L22" s="78"/>
      <c r="M22" s="20"/>
      <c r="N22" s="25"/>
    </row>
    <row r="23" spans="1:14" x14ac:dyDescent="0.25">
      <c r="A23" s="101"/>
      <c r="B23" s="17" t="s">
        <v>52</v>
      </c>
      <c r="C23" s="16" t="s">
        <v>50</v>
      </c>
      <c r="D23" s="20"/>
      <c r="E23" s="20">
        <f>1.83*(3.37+1.28)</f>
        <v>8.509500000000001</v>
      </c>
      <c r="F23" s="16"/>
      <c r="G23" s="20"/>
      <c r="H23" s="20">
        <f t="shared" si="0"/>
        <v>0</v>
      </c>
      <c r="I23" s="16"/>
      <c r="J23" s="20"/>
      <c r="K23" s="20">
        <f t="shared" si="2"/>
        <v>0</v>
      </c>
      <c r="L23" s="78"/>
      <c r="M23" s="20"/>
      <c r="N23" s="25"/>
    </row>
    <row r="24" spans="1:14" x14ac:dyDescent="0.25">
      <c r="A24" s="101"/>
      <c r="B24" s="17" t="s">
        <v>52</v>
      </c>
      <c r="C24" s="16" t="s">
        <v>54</v>
      </c>
      <c r="D24" s="20"/>
      <c r="E24" s="20">
        <f>1.83*0.6</f>
        <v>1.0980000000000001</v>
      </c>
      <c r="F24" s="16"/>
      <c r="G24" s="20"/>
      <c r="H24" s="20">
        <f t="shared" si="0"/>
        <v>0</v>
      </c>
      <c r="I24" s="16"/>
      <c r="J24" s="20"/>
      <c r="K24" s="20">
        <f t="shared" si="2"/>
        <v>0</v>
      </c>
      <c r="L24" s="78"/>
      <c r="M24" s="20"/>
      <c r="N24" s="25"/>
    </row>
    <row r="25" spans="1:14" x14ac:dyDescent="0.25">
      <c r="A25" s="101"/>
      <c r="B25" s="17" t="s">
        <v>67</v>
      </c>
      <c r="C25" s="16" t="s">
        <v>55</v>
      </c>
      <c r="D25" s="46"/>
      <c r="E25" s="46"/>
      <c r="F25" s="47"/>
      <c r="G25" s="46"/>
      <c r="H25" s="46">
        <f t="shared" si="0"/>
        <v>0</v>
      </c>
      <c r="I25" s="47"/>
      <c r="J25" s="46"/>
      <c r="K25" s="46">
        <f t="shared" si="2"/>
        <v>0</v>
      </c>
      <c r="L25" s="79"/>
      <c r="M25" s="46"/>
      <c r="N25" s="49"/>
    </row>
    <row r="26" spans="1:14" s="2" customFormat="1" x14ac:dyDescent="0.25">
      <c r="A26" s="101"/>
      <c r="B26" s="99" t="s">
        <v>68</v>
      </c>
      <c r="C26" s="98" t="s">
        <v>56</v>
      </c>
      <c r="D26" s="97"/>
      <c r="E26" s="97">
        <f>1.83*1.97</f>
        <v>3.6051000000000002</v>
      </c>
      <c r="F26" s="16"/>
      <c r="G26" s="20"/>
      <c r="H26" s="20">
        <f t="shared" si="0"/>
        <v>0</v>
      </c>
      <c r="I26" s="16">
        <v>3</v>
      </c>
      <c r="J26" s="20">
        <f t="shared" ref="J26:J49" si="7">0.77*(1.46+0.7)</f>
        <v>1.6632000000000002</v>
      </c>
      <c r="K26" s="20">
        <f t="shared" si="2"/>
        <v>4.9896000000000011</v>
      </c>
      <c r="L26" s="78"/>
      <c r="M26" s="97"/>
      <c r="N26" s="25"/>
    </row>
    <row r="27" spans="1:14" s="2" customFormat="1" x14ac:dyDescent="0.25">
      <c r="A27" s="101"/>
      <c r="B27" s="99"/>
      <c r="C27" s="98"/>
      <c r="D27" s="97"/>
      <c r="E27" s="97"/>
      <c r="F27" s="16"/>
      <c r="G27" s="20"/>
      <c r="H27" s="20">
        <f t="shared" si="0"/>
        <v>0</v>
      </c>
      <c r="I27" s="16">
        <v>3</v>
      </c>
      <c r="J27" s="20">
        <f t="shared" ref="J27:J50" si="8">0.77*2.25</f>
        <v>1.7324999999999999</v>
      </c>
      <c r="K27" s="20">
        <f t="shared" si="2"/>
        <v>5.1974999999999998</v>
      </c>
      <c r="L27" s="78"/>
      <c r="M27" s="97"/>
      <c r="N27" s="25"/>
    </row>
    <row r="28" spans="1:14" s="2" customFormat="1" x14ac:dyDescent="0.25">
      <c r="A28" s="101"/>
      <c r="B28" s="99" t="s">
        <v>69</v>
      </c>
      <c r="C28" s="98" t="s">
        <v>57</v>
      </c>
      <c r="D28" s="97"/>
      <c r="E28" s="97"/>
      <c r="F28" s="16"/>
      <c r="G28" s="20"/>
      <c r="H28" s="20">
        <f t="shared" si="0"/>
        <v>0</v>
      </c>
      <c r="I28" s="16">
        <v>1</v>
      </c>
      <c r="J28" s="20">
        <f t="shared" si="7"/>
        <v>1.6632000000000002</v>
      </c>
      <c r="K28" s="20">
        <f t="shared" si="2"/>
        <v>1.6632000000000002</v>
      </c>
      <c r="L28" s="114">
        <v>1</v>
      </c>
      <c r="M28" s="97">
        <f>0.68*1.78</f>
        <v>1.2104000000000001</v>
      </c>
      <c r="N28" s="25"/>
    </row>
    <row r="29" spans="1:14" s="2" customFormat="1" x14ac:dyDescent="0.25">
      <c r="A29" s="101"/>
      <c r="B29" s="99"/>
      <c r="C29" s="98"/>
      <c r="D29" s="97"/>
      <c r="E29" s="97"/>
      <c r="F29" s="16"/>
      <c r="G29" s="20"/>
      <c r="H29" s="20">
        <f t="shared" si="0"/>
        <v>0</v>
      </c>
      <c r="I29" s="16">
        <v>1</v>
      </c>
      <c r="J29" s="20">
        <f t="shared" si="8"/>
        <v>1.7324999999999999</v>
      </c>
      <c r="K29" s="20">
        <f t="shared" si="2"/>
        <v>1.7324999999999999</v>
      </c>
      <c r="L29" s="115"/>
      <c r="M29" s="97"/>
      <c r="N29" s="25"/>
    </row>
    <row r="30" spans="1:14" s="2" customFormat="1" x14ac:dyDescent="0.25">
      <c r="A30" s="101"/>
      <c r="B30" s="99" t="s">
        <v>69</v>
      </c>
      <c r="C30" s="98" t="s">
        <v>58</v>
      </c>
      <c r="D30" s="97"/>
      <c r="E30" s="97"/>
      <c r="F30" s="16"/>
      <c r="G30" s="20"/>
      <c r="H30" s="20">
        <f t="shared" si="0"/>
        <v>0</v>
      </c>
      <c r="I30" s="16">
        <v>1</v>
      </c>
      <c r="J30" s="20">
        <f t="shared" si="7"/>
        <v>1.6632000000000002</v>
      </c>
      <c r="K30" s="20">
        <f t="shared" si="2"/>
        <v>1.6632000000000002</v>
      </c>
      <c r="L30" s="114">
        <v>1</v>
      </c>
      <c r="M30" s="97">
        <f t="shared" ref="M30" si="9">0.68*1.78</f>
        <v>1.2104000000000001</v>
      </c>
      <c r="N30" s="25"/>
    </row>
    <row r="31" spans="1:14" s="2" customFormat="1" x14ac:dyDescent="0.25">
      <c r="A31" s="101"/>
      <c r="B31" s="99"/>
      <c r="C31" s="98"/>
      <c r="D31" s="97"/>
      <c r="E31" s="97"/>
      <c r="F31" s="16"/>
      <c r="G31" s="20"/>
      <c r="H31" s="20">
        <f t="shared" si="0"/>
        <v>0</v>
      </c>
      <c r="I31" s="16">
        <v>1</v>
      </c>
      <c r="J31" s="20">
        <f t="shared" si="8"/>
        <v>1.7324999999999999</v>
      </c>
      <c r="K31" s="20">
        <f t="shared" si="2"/>
        <v>1.7324999999999999</v>
      </c>
      <c r="L31" s="115"/>
      <c r="M31" s="97"/>
      <c r="N31" s="25"/>
    </row>
    <row r="32" spans="1:14" s="2" customFormat="1" x14ac:dyDescent="0.25">
      <c r="A32" s="101"/>
      <c r="B32" s="99" t="s">
        <v>69</v>
      </c>
      <c r="C32" s="98" t="s">
        <v>59</v>
      </c>
      <c r="D32" s="97"/>
      <c r="E32" s="97"/>
      <c r="F32" s="16"/>
      <c r="G32" s="20"/>
      <c r="H32" s="20">
        <f t="shared" si="0"/>
        <v>0</v>
      </c>
      <c r="I32" s="16">
        <v>1</v>
      </c>
      <c r="J32" s="20">
        <f t="shared" si="7"/>
        <v>1.6632000000000002</v>
      </c>
      <c r="K32" s="20">
        <f t="shared" si="2"/>
        <v>1.6632000000000002</v>
      </c>
      <c r="L32" s="114">
        <v>1</v>
      </c>
      <c r="M32" s="97">
        <f t="shared" ref="M32" si="10">0.68*1.78</f>
        <v>1.2104000000000001</v>
      </c>
      <c r="N32" s="25"/>
    </row>
    <row r="33" spans="1:14" s="2" customFormat="1" x14ac:dyDescent="0.25">
      <c r="A33" s="101"/>
      <c r="B33" s="99"/>
      <c r="C33" s="98"/>
      <c r="D33" s="97"/>
      <c r="E33" s="97"/>
      <c r="F33" s="16"/>
      <c r="G33" s="20"/>
      <c r="H33" s="20">
        <f t="shared" si="0"/>
        <v>0</v>
      </c>
      <c r="I33" s="16">
        <v>1</v>
      </c>
      <c r="J33" s="20">
        <f t="shared" si="8"/>
        <v>1.7324999999999999</v>
      </c>
      <c r="K33" s="20">
        <f t="shared" si="2"/>
        <v>1.7324999999999999</v>
      </c>
      <c r="L33" s="115"/>
      <c r="M33" s="97"/>
      <c r="N33" s="25"/>
    </row>
    <row r="34" spans="1:14" s="2" customFormat="1" x14ac:dyDescent="0.25">
      <c r="A34" s="101"/>
      <c r="B34" s="99" t="s">
        <v>69</v>
      </c>
      <c r="C34" s="98" t="s">
        <v>60</v>
      </c>
      <c r="D34" s="97"/>
      <c r="E34" s="97"/>
      <c r="F34" s="16"/>
      <c r="G34" s="20"/>
      <c r="H34" s="20">
        <f t="shared" si="0"/>
        <v>0</v>
      </c>
      <c r="I34" s="16">
        <v>1</v>
      </c>
      <c r="J34" s="20">
        <f t="shared" si="7"/>
        <v>1.6632000000000002</v>
      </c>
      <c r="K34" s="20">
        <f t="shared" si="2"/>
        <v>1.6632000000000002</v>
      </c>
      <c r="L34" s="114">
        <v>1</v>
      </c>
      <c r="M34" s="97">
        <f t="shared" ref="M34" si="11">0.68*1.78</f>
        <v>1.2104000000000001</v>
      </c>
      <c r="N34" s="25"/>
    </row>
    <row r="35" spans="1:14" s="2" customFormat="1" x14ac:dyDescent="0.25">
      <c r="A35" s="101"/>
      <c r="B35" s="99"/>
      <c r="C35" s="98"/>
      <c r="D35" s="97"/>
      <c r="E35" s="97"/>
      <c r="F35" s="16"/>
      <c r="G35" s="20"/>
      <c r="H35" s="20">
        <f t="shared" si="0"/>
        <v>0</v>
      </c>
      <c r="I35" s="16">
        <v>1</v>
      </c>
      <c r="J35" s="20">
        <f t="shared" si="8"/>
        <v>1.7324999999999999</v>
      </c>
      <c r="K35" s="20">
        <f t="shared" si="2"/>
        <v>1.7324999999999999</v>
      </c>
      <c r="L35" s="115"/>
      <c r="M35" s="97"/>
      <c r="N35" s="25"/>
    </row>
    <row r="36" spans="1:14" s="2" customFormat="1" x14ac:dyDescent="0.25">
      <c r="A36" s="101"/>
      <c r="B36" s="99" t="s">
        <v>69</v>
      </c>
      <c r="C36" s="98" t="s">
        <v>61</v>
      </c>
      <c r="D36" s="97"/>
      <c r="E36" s="97"/>
      <c r="F36" s="16"/>
      <c r="G36" s="20"/>
      <c r="H36" s="20">
        <f t="shared" si="0"/>
        <v>0</v>
      </c>
      <c r="I36" s="16">
        <v>1</v>
      </c>
      <c r="J36" s="20">
        <f t="shared" si="7"/>
        <v>1.6632000000000002</v>
      </c>
      <c r="K36" s="20">
        <f t="shared" si="2"/>
        <v>1.6632000000000002</v>
      </c>
      <c r="L36" s="114">
        <v>1</v>
      </c>
      <c r="M36" s="97">
        <f t="shared" ref="M36" si="12">0.68*1.78</f>
        <v>1.2104000000000001</v>
      </c>
      <c r="N36" s="25"/>
    </row>
    <row r="37" spans="1:14" s="2" customFormat="1" x14ac:dyDescent="0.25">
      <c r="A37" s="101"/>
      <c r="B37" s="99"/>
      <c r="C37" s="98"/>
      <c r="D37" s="97"/>
      <c r="E37" s="97"/>
      <c r="F37" s="16"/>
      <c r="G37" s="20"/>
      <c r="H37" s="20">
        <f t="shared" si="0"/>
        <v>0</v>
      </c>
      <c r="I37" s="16">
        <v>1</v>
      </c>
      <c r="J37" s="20">
        <f t="shared" si="8"/>
        <v>1.7324999999999999</v>
      </c>
      <c r="K37" s="20">
        <f t="shared" si="2"/>
        <v>1.7324999999999999</v>
      </c>
      <c r="L37" s="115"/>
      <c r="M37" s="97"/>
      <c r="N37" s="25"/>
    </row>
    <row r="38" spans="1:14" s="2" customFormat="1" x14ac:dyDescent="0.25">
      <c r="A38" s="101"/>
      <c r="B38" s="99" t="s">
        <v>69</v>
      </c>
      <c r="C38" s="98" t="s">
        <v>62</v>
      </c>
      <c r="D38" s="97"/>
      <c r="E38" s="97"/>
      <c r="F38" s="16"/>
      <c r="G38" s="20"/>
      <c r="H38" s="20">
        <f t="shared" si="0"/>
        <v>0</v>
      </c>
      <c r="I38" s="16">
        <v>1</v>
      </c>
      <c r="J38" s="20">
        <f t="shared" si="7"/>
        <v>1.6632000000000002</v>
      </c>
      <c r="K38" s="20">
        <f t="shared" si="2"/>
        <v>1.6632000000000002</v>
      </c>
      <c r="L38" s="114">
        <v>1</v>
      </c>
      <c r="M38" s="97">
        <f t="shared" ref="M38" si="13">0.68*1.78</f>
        <v>1.2104000000000001</v>
      </c>
      <c r="N38" s="25"/>
    </row>
    <row r="39" spans="1:14" s="2" customFormat="1" x14ac:dyDescent="0.25">
      <c r="A39" s="101"/>
      <c r="B39" s="99"/>
      <c r="C39" s="98"/>
      <c r="D39" s="97"/>
      <c r="E39" s="97"/>
      <c r="F39" s="16"/>
      <c r="G39" s="20"/>
      <c r="H39" s="20">
        <f t="shared" si="0"/>
        <v>0</v>
      </c>
      <c r="I39" s="16">
        <v>1</v>
      </c>
      <c r="J39" s="20">
        <f t="shared" si="8"/>
        <v>1.7324999999999999</v>
      </c>
      <c r="K39" s="20">
        <f t="shared" si="2"/>
        <v>1.7324999999999999</v>
      </c>
      <c r="L39" s="115"/>
      <c r="M39" s="97"/>
      <c r="N39" s="25"/>
    </row>
    <row r="40" spans="1:14" s="2" customFormat="1" x14ac:dyDescent="0.25">
      <c r="A40" s="101"/>
      <c r="B40" s="99" t="s">
        <v>69</v>
      </c>
      <c r="C40" s="98" t="s">
        <v>63</v>
      </c>
      <c r="D40" s="97"/>
      <c r="E40" s="97"/>
      <c r="F40" s="16"/>
      <c r="G40" s="20"/>
      <c r="H40" s="20">
        <f t="shared" si="0"/>
        <v>0</v>
      </c>
      <c r="I40" s="16">
        <v>1</v>
      </c>
      <c r="J40" s="20">
        <f t="shared" si="7"/>
        <v>1.6632000000000002</v>
      </c>
      <c r="K40" s="20">
        <f t="shared" si="2"/>
        <v>1.6632000000000002</v>
      </c>
      <c r="L40" s="114">
        <v>1</v>
      </c>
      <c r="M40" s="97">
        <f t="shared" ref="M40" si="14">0.68*1.78</f>
        <v>1.2104000000000001</v>
      </c>
      <c r="N40" s="25"/>
    </row>
    <row r="41" spans="1:14" s="2" customFormat="1" x14ac:dyDescent="0.25">
      <c r="A41" s="101"/>
      <c r="B41" s="99"/>
      <c r="C41" s="98"/>
      <c r="D41" s="97"/>
      <c r="E41" s="97"/>
      <c r="F41" s="16"/>
      <c r="G41" s="20"/>
      <c r="H41" s="20">
        <f t="shared" si="0"/>
        <v>0</v>
      </c>
      <c r="I41" s="16">
        <v>1</v>
      </c>
      <c r="J41" s="20">
        <f t="shared" si="8"/>
        <v>1.7324999999999999</v>
      </c>
      <c r="K41" s="20">
        <f t="shared" si="2"/>
        <v>1.7324999999999999</v>
      </c>
      <c r="L41" s="115"/>
      <c r="M41" s="97"/>
      <c r="N41" s="25"/>
    </row>
    <row r="42" spans="1:14" x14ac:dyDescent="0.25">
      <c r="A42" s="101"/>
      <c r="B42" s="17" t="s">
        <v>69</v>
      </c>
      <c r="C42" s="16" t="s">
        <v>53</v>
      </c>
      <c r="D42" s="20"/>
      <c r="E42" s="20"/>
      <c r="F42" s="16"/>
      <c r="G42" s="20"/>
      <c r="H42" s="20">
        <f t="shared" si="0"/>
        <v>0</v>
      </c>
      <c r="I42" s="16">
        <v>1</v>
      </c>
      <c r="J42" s="20">
        <f t="shared" si="7"/>
        <v>1.6632000000000002</v>
      </c>
      <c r="K42" s="20">
        <f t="shared" si="2"/>
        <v>1.6632000000000002</v>
      </c>
      <c r="L42" s="78">
        <v>1</v>
      </c>
      <c r="M42" s="20">
        <f>0.68*1.78</f>
        <v>1.2104000000000001</v>
      </c>
      <c r="N42" s="25"/>
    </row>
    <row r="43" spans="1:14" x14ac:dyDescent="0.25">
      <c r="A43" s="101"/>
      <c r="B43" s="99" t="s">
        <v>69</v>
      </c>
      <c r="C43" s="98" t="s">
        <v>64</v>
      </c>
      <c r="D43" s="97"/>
      <c r="E43" s="97"/>
      <c r="F43" s="16"/>
      <c r="G43" s="20"/>
      <c r="H43" s="20">
        <f t="shared" si="0"/>
        <v>0</v>
      </c>
      <c r="I43" s="16">
        <v>3</v>
      </c>
      <c r="J43" s="20">
        <f t="shared" si="7"/>
        <v>1.6632000000000002</v>
      </c>
      <c r="K43" s="20">
        <f t="shared" si="2"/>
        <v>4.9896000000000011</v>
      </c>
      <c r="L43" s="114">
        <v>1</v>
      </c>
      <c r="M43" s="97">
        <f>0.68*1.78</f>
        <v>1.2104000000000001</v>
      </c>
      <c r="N43" s="25"/>
    </row>
    <row r="44" spans="1:14" x14ac:dyDescent="0.25">
      <c r="A44" s="101"/>
      <c r="B44" s="99"/>
      <c r="C44" s="98"/>
      <c r="D44" s="97"/>
      <c r="E44" s="97"/>
      <c r="F44" s="16"/>
      <c r="G44" s="20"/>
      <c r="H44" s="20">
        <f t="shared" si="0"/>
        <v>0</v>
      </c>
      <c r="I44" s="16">
        <v>2</v>
      </c>
      <c r="J44" s="20">
        <f t="shared" si="8"/>
        <v>1.7324999999999999</v>
      </c>
      <c r="K44" s="20">
        <f t="shared" si="2"/>
        <v>3.4649999999999999</v>
      </c>
      <c r="L44" s="115"/>
      <c r="M44" s="97"/>
      <c r="N44" s="25"/>
    </row>
    <row r="45" spans="1:14" x14ac:dyDescent="0.25">
      <c r="A45" s="101"/>
      <c r="B45" s="99" t="s">
        <v>68</v>
      </c>
      <c r="C45" s="98" t="s">
        <v>65</v>
      </c>
      <c r="D45" s="97"/>
      <c r="E45" s="97"/>
      <c r="F45" s="16"/>
      <c r="G45" s="20"/>
      <c r="H45" s="20">
        <f t="shared" si="0"/>
        <v>0</v>
      </c>
      <c r="I45" s="16">
        <v>3</v>
      </c>
      <c r="J45" s="20">
        <f t="shared" si="7"/>
        <v>1.6632000000000002</v>
      </c>
      <c r="K45" s="20">
        <f t="shared" si="2"/>
        <v>4.9896000000000011</v>
      </c>
      <c r="L45" s="114">
        <v>1</v>
      </c>
      <c r="M45" s="97">
        <f t="shared" ref="M45" si="15">0.68*1.78</f>
        <v>1.2104000000000001</v>
      </c>
      <c r="N45" s="25"/>
    </row>
    <row r="46" spans="1:14" x14ac:dyDescent="0.25">
      <c r="A46" s="101"/>
      <c r="B46" s="99"/>
      <c r="C46" s="98"/>
      <c r="D46" s="97"/>
      <c r="E46" s="97"/>
      <c r="F46" s="16"/>
      <c r="G46" s="20"/>
      <c r="H46" s="20">
        <f t="shared" si="0"/>
        <v>0</v>
      </c>
      <c r="I46" s="16">
        <v>1</v>
      </c>
      <c r="J46" s="20">
        <f t="shared" si="8"/>
        <v>1.7324999999999999</v>
      </c>
      <c r="K46" s="20">
        <f t="shared" si="2"/>
        <v>1.7324999999999999</v>
      </c>
      <c r="L46" s="115"/>
      <c r="M46" s="97"/>
      <c r="N46" s="25"/>
    </row>
    <row r="47" spans="1:14" x14ac:dyDescent="0.25">
      <c r="A47" s="101"/>
      <c r="B47" s="99" t="s">
        <v>68</v>
      </c>
      <c r="C47" s="98" t="s">
        <v>66</v>
      </c>
      <c r="D47" s="97"/>
      <c r="E47" s="97"/>
      <c r="F47" s="16"/>
      <c r="G47" s="20"/>
      <c r="H47" s="20">
        <f t="shared" si="0"/>
        <v>0</v>
      </c>
      <c r="I47" s="16">
        <v>2</v>
      </c>
      <c r="J47" s="20">
        <f t="shared" si="7"/>
        <v>1.6632000000000002</v>
      </c>
      <c r="K47" s="20">
        <f t="shared" si="2"/>
        <v>3.3264000000000005</v>
      </c>
      <c r="L47" s="114">
        <v>1</v>
      </c>
      <c r="M47" s="97">
        <f t="shared" ref="M47" si="16">0.68*1.78</f>
        <v>1.2104000000000001</v>
      </c>
      <c r="N47" s="25"/>
    </row>
    <row r="48" spans="1:14" x14ac:dyDescent="0.25">
      <c r="A48" s="101"/>
      <c r="B48" s="99"/>
      <c r="C48" s="98"/>
      <c r="D48" s="97"/>
      <c r="E48" s="97"/>
      <c r="F48" s="16"/>
      <c r="G48" s="20"/>
      <c r="H48" s="20">
        <f t="shared" si="0"/>
        <v>0</v>
      </c>
      <c r="I48" s="16">
        <v>1</v>
      </c>
      <c r="J48" s="20">
        <f t="shared" si="8"/>
        <v>1.7324999999999999</v>
      </c>
      <c r="K48" s="20">
        <f t="shared" si="2"/>
        <v>1.7324999999999999</v>
      </c>
      <c r="L48" s="115"/>
      <c r="M48" s="97"/>
      <c r="N48" s="25"/>
    </row>
    <row r="49" spans="1:14" x14ac:dyDescent="0.25">
      <c r="A49" s="101"/>
      <c r="B49" s="99" t="s">
        <v>71</v>
      </c>
      <c r="C49" s="98" t="s">
        <v>72</v>
      </c>
      <c r="D49" s="97"/>
      <c r="E49" s="97">
        <f>1.83*0.55</f>
        <v>1.0065000000000002</v>
      </c>
      <c r="F49" s="16"/>
      <c r="G49" s="20"/>
      <c r="H49" s="20">
        <f t="shared" si="0"/>
        <v>0</v>
      </c>
      <c r="I49" s="16">
        <v>1</v>
      </c>
      <c r="J49" s="20">
        <f t="shared" si="7"/>
        <v>1.6632000000000002</v>
      </c>
      <c r="K49" s="20">
        <f t="shared" si="2"/>
        <v>1.6632000000000002</v>
      </c>
      <c r="L49" s="78"/>
      <c r="M49" s="20"/>
      <c r="N49" s="25"/>
    </row>
    <row r="50" spans="1:14" x14ac:dyDescent="0.25">
      <c r="A50" s="101"/>
      <c r="B50" s="99"/>
      <c r="C50" s="98"/>
      <c r="D50" s="97"/>
      <c r="E50" s="97"/>
      <c r="F50" s="16"/>
      <c r="G50" s="20"/>
      <c r="H50" s="20">
        <f t="shared" si="0"/>
        <v>0</v>
      </c>
      <c r="I50" s="16">
        <v>1</v>
      </c>
      <c r="J50" s="20">
        <f t="shared" si="8"/>
        <v>1.7324999999999999</v>
      </c>
      <c r="K50" s="20">
        <f t="shared" si="2"/>
        <v>1.7324999999999999</v>
      </c>
      <c r="L50" s="78"/>
      <c r="M50" s="20"/>
      <c r="N50" s="25"/>
    </row>
    <row r="51" spans="1:14" x14ac:dyDescent="0.25">
      <c r="A51" s="101"/>
      <c r="B51" s="17" t="s">
        <v>77</v>
      </c>
      <c r="C51" s="16" t="s">
        <v>73</v>
      </c>
      <c r="D51" s="20"/>
      <c r="E51" s="20">
        <f>1.83*0.9</f>
        <v>1.647</v>
      </c>
      <c r="F51" s="16">
        <v>2</v>
      </c>
      <c r="G51" s="20">
        <f t="shared" ref="G51" si="17">0.73*(1.44+0.7)</f>
        <v>1.5621999999999998</v>
      </c>
      <c r="H51" s="20">
        <f t="shared" si="0"/>
        <v>3.1243999999999996</v>
      </c>
      <c r="I51" s="16"/>
      <c r="J51" s="20"/>
      <c r="K51" s="20">
        <f t="shared" si="2"/>
        <v>0</v>
      </c>
      <c r="L51" s="78"/>
      <c r="M51" s="20"/>
      <c r="N51" s="25"/>
    </row>
    <row r="52" spans="1:14" x14ac:dyDescent="0.25">
      <c r="A52" s="101"/>
      <c r="B52" s="17" t="s">
        <v>78</v>
      </c>
      <c r="C52" s="16" t="s">
        <v>74</v>
      </c>
      <c r="D52" s="20"/>
      <c r="E52" s="20">
        <f>1.83*0.9</f>
        <v>1.647</v>
      </c>
      <c r="F52" s="16">
        <v>2</v>
      </c>
      <c r="G52" s="20">
        <f>0.73*(1.44+0.7)</f>
        <v>1.5621999999999998</v>
      </c>
      <c r="H52" s="20">
        <f t="shared" si="0"/>
        <v>3.1243999999999996</v>
      </c>
      <c r="I52" s="16"/>
      <c r="J52" s="20"/>
      <c r="K52" s="20">
        <f t="shared" si="2"/>
        <v>0</v>
      </c>
      <c r="L52" s="78"/>
      <c r="M52" s="20"/>
      <c r="N52" s="25"/>
    </row>
    <row r="53" spans="1:14" x14ac:dyDescent="0.25">
      <c r="A53" s="101"/>
      <c r="B53" s="116" t="s">
        <v>77</v>
      </c>
      <c r="C53" s="118" t="s">
        <v>75</v>
      </c>
      <c r="D53" s="120"/>
      <c r="E53" s="120">
        <f>1.83*1.21</f>
        <v>2.2143000000000002</v>
      </c>
      <c r="F53" s="16"/>
      <c r="G53" s="20"/>
      <c r="H53" s="20">
        <f t="shared" si="0"/>
        <v>0</v>
      </c>
      <c r="I53" s="16">
        <v>2</v>
      </c>
      <c r="J53" s="45">
        <f t="shared" ref="J53" si="18">0.77*(1.46+0.7)</f>
        <v>1.6632000000000002</v>
      </c>
      <c r="K53" s="20">
        <f t="shared" si="2"/>
        <v>3.3264000000000005</v>
      </c>
      <c r="L53" s="78"/>
      <c r="M53" s="20"/>
      <c r="N53" s="25"/>
    </row>
    <row r="54" spans="1:14" x14ac:dyDescent="0.25">
      <c r="A54" s="101"/>
      <c r="B54" s="117"/>
      <c r="C54" s="119"/>
      <c r="D54" s="121"/>
      <c r="E54" s="121"/>
      <c r="F54" s="43"/>
      <c r="G54" s="45"/>
      <c r="H54" s="45">
        <f t="shared" si="0"/>
        <v>0</v>
      </c>
      <c r="I54" s="43">
        <v>2</v>
      </c>
      <c r="J54" s="45">
        <f t="shared" ref="J54" si="19">0.77*2.25</f>
        <v>1.7324999999999999</v>
      </c>
      <c r="K54" s="45">
        <f t="shared" si="2"/>
        <v>3.4649999999999999</v>
      </c>
      <c r="L54" s="78"/>
      <c r="M54" s="45"/>
      <c r="N54" s="25"/>
    </row>
    <row r="55" spans="1:14" x14ac:dyDescent="0.25">
      <c r="A55" s="101"/>
      <c r="B55" s="17" t="s">
        <v>52</v>
      </c>
      <c r="C55" s="16" t="s">
        <v>76</v>
      </c>
      <c r="D55" s="20"/>
      <c r="E55" s="20">
        <f>1.83*(2.22+2.9)</f>
        <v>9.3696000000000002</v>
      </c>
      <c r="F55" s="16"/>
      <c r="G55" s="20"/>
      <c r="H55" s="20">
        <f t="shared" si="0"/>
        <v>0</v>
      </c>
      <c r="I55" s="16"/>
      <c r="J55" s="20"/>
      <c r="K55" s="20">
        <f t="shared" si="2"/>
        <v>0</v>
      </c>
      <c r="L55" s="78"/>
      <c r="M55" s="20"/>
      <c r="N55" s="25"/>
    </row>
    <row r="56" spans="1:14" x14ac:dyDescent="0.25">
      <c r="A56" s="101"/>
      <c r="B56" s="17" t="s">
        <v>81</v>
      </c>
      <c r="C56" s="16" t="s">
        <v>82</v>
      </c>
      <c r="D56" s="20">
        <f>1.09*(4.93+1.98+1.99)</f>
        <v>9.7010000000000005</v>
      </c>
      <c r="E56" s="20"/>
      <c r="F56" s="16">
        <v>7</v>
      </c>
      <c r="G56" s="20">
        <f t="shared" ref="G56:G66" si="20">0.73*(1.44+0.7)</f>
        <v>1.5621999999999998</v>
      </c>
      <c r="H56" s="20">
        <f t="shared" si="0"/>
        <v>10.935399999999998</v>
      </c>
      <c r="I56" s="16"/>
      <c r="J56" s="20"/>
      <c r="K56" s="20">
        <f t="shared" si="2"/>
        <v>0</v>
      </c>
      <c r="L56" s="78"/>
      <c r="M56" s="20"/>
      <c r="N56" s="25"/>
    </row>
    <row r="57" spans="1:14" x14ac:dyDescent="0.25">
      <c r="A57" s="101"/>
      <c r="B57" s="17" t="s">
        <v>81</v>
      </c>
      <c r="C57" s="16" t="s">
        <v>83</v>
      </c>
      <c r="D57" s="20">
        <f>1.09*(3.3+3.4)</f>
        <v>7.3029999999999999</v>
      </c>
      <c r="E57" s="20"/>
      <c r="F57" s="16">
        <v>1</v>
      </c>
      <c r="G57" s="20">
        <f t="shared" si="20"/>
        <v>1.5621999999999998</v>
      </c>
      <c r="H57" s="20">
        <f t="shared" si="0"/>
        <v>1.5621999999999998</v>
      </c>
      <c r="I57" s="16"/>
      <c r="J57" s="20"/>
      <c r="K57" s="20">
        <f t="shared" si="2"/>
        <v>0</v>
      </c>
      <c r="L57" s="78"/>
      <c r="M57" s="20"/>
      <c r="N57" s="25"/>
    </row>
    <row r="58" spans="1:14" x14ac:dyDescent="0.25">
      <c r="A58" s="101"/>
      <c r="B58" s="17" t="s">
        <v>81</v>
      </c>
      <c r="C58" s="16" t="s">
        <v>84</v>
      </c>
      <c r="D58" s="20">
        <f>1.09*3.3</f>
        <v>3.597</v>
      </c>
      <c r="E58" s="20"/>
      <c r="F58" s="16">
        <v>2</v>
      </c>
      <c r="G58" s="20">
        <f t="shared" si="20"/>
        <v>1.5621999999999998</v>
      </c>
      <c r="H58" s="20">
        <f t="shared" si="0"/>
        <v>3.1243999999999996</v>
      </c>
      <c r="I58" s="16"/>
      <c r="J58" s="20"/>
      <c r="K58" s="20">
        <f t="shared" si="2"/>
        <v>0</v>
      </c>
      <c r="L58" s="78"/>
      <c r="M58" s="20"/>
      <c r="N58" s="25"/>
    </row>
    <row r="59" spans="1:14" s="7" customFormat="1" x14ac:dyDescent="0.25">
      <c r="A59" s="101"/>
      <c r="B59" s="17" t="s">
        <v>81</v>
      </c>
      <c r="C59" s="16" t="s">
        <v>85</v>
      </c>
      <c r="D59" s="46"/>
      <c r="E59" s="46"/>
      <c r="F59" s="47"/>
      <c r="G59" s="46"/>
      <c r="H59" s="46">
        <f t="shared" si="0"/>
        <v>0</v>
      </c>
      <c r="I59" s="47"/>
      <c r="J59" s="46"/>
      <c r="K59" s="46">
        <f t="shared" si="2"/>
        <v>0</v>
      </c>
      <c r="L59" s="79"/>
      <c r="M59" s="46"/>
      <c r="N59" s="49"/>
    </row>
    <row r="60" spans="1:14" s="7" customFormat="1" x14ac:dyDescent="0.25">
      <c r="A60" s="101"/>
      <c r="B60" s="17" t="s">
        <v>86</v>
      </c>
      <c r="C60" s="16" t="s">
        <v>87</v>
      </c>
      <c r="D60" s="20"/>
      <c r="E60" s="20">
        <f>1.83*0.8</f>
        <v>1.4640000000000002</v>
      </c>
      <c r="F60" s="16">
        <v>1</v>
      </c>
      <c r="G60" s="20">
        <f t="shared" si="20"/>
        <v>1.5621999999999998</v>
      </c>
      <c r="H60" s="20">
        <f t="shared" si="0"/>
        <v>1.5621999999999998</v>
      </c>
      <c r="I60" s="16"/>
      <c r="J60" s="20"/>
      <c r="K60" s="20">
        <f t="shared" si="2"/>
        <v>0</v>
      </c>
      <c r="L60" s="78"/>
      <c r="M60" s="20"/>
      <c r="N60" s="25"/>
    </row>
    <row r="61" spans="1:14" s="7" customFormat="1" x14ac:dyDescent="0.25">
      <c r="A61" s="101"/>
      <c r="B61" s="17" t="s">
        <v>86</v>
      </c>
      <c r="C61" s="16" t="s">
        <v>88</v>
      </c>
      <c r="D61" s="20"/>
      <c r="E61" s="20">
        <f>1.83*0.8</f>
        <v>1.4640000000000002</v>
      </c>
      <c r="F61" s="16">
        <v>1</v>
      </c>
      <c r="G61" s="20">
        <f t="shared" si="20"/>
        <v>1.5621999999999998</v>
      </c>
      <c r="H61" s="20">
        <f t="shared" si="0"/>
        <v>1.5621999999999998</v>
      </c>
      <c r="I61" s="16"/>
      <c r="J61" s="20"/>
      <c r="K61" s="20">
        <f t="shared" si="2"/>
        <v>0</v>
      </c>
      <c r="L61" s="78"/>
      <c r="M61" s="20"/>
      <c r="N61" s="25"/>
    </row>
    <row r="62" spans="1:14" s="7" customFormat="1" x14ac:dyDescent="0.25">
      <c r="A62" s="101"/>
      <c r="B62" s="17" t="s">
        <v>86</v>
      </c>
      <c r="C62" s="16" t="s">
        <v>89</v>
      </c>
      <c r="D62" s="20"/>
      <c r="E62" s="20">
        <f>1.83*0.8</f>
        <v>1.4640000000000002</v>
      </c>
      <c r="F62" s="16">
        <v>2</v>
      </c>
      <c r="G62" s="20">
        <f t="shared" si="20"/>
        <v>1.5621999999999998</v>
      </c>
      <c r="H62" s="20">
        <f t="shared" si="0"/>
        <v>3.1243999999999996</v>
      </c>
      <c r="I62" s="16"/>
      <c r="J62" s="20"/>
      <c r="K62" s="20">
        <f t="shared" si="2"/>
        <v>0</v>
      </c>
      <c r="L62" s="78"/>
      <c r="M62" s="20"/>
      <c r="N62" s="25"/>
    </row>
    <row r="63" spans="1:14" s="7" customFormat="1" x14ac:dyDescent="0.25">
      <c r="A63" s="101"/>
      <c r="B63" s="17" t="s">
        <v>86</v>
      </c>
      <c r="C63" s="16" t="s">
        <v>90</v>
      </c>
      <c r="D63" s="20"/>
      <c r="E63" s="20">
        <f>1.83*0.8</f>
        <v>1.4640000000000002</v>
      </c>
      <c r="F63" s="16">
        <v>1</v>
      </c>
      <c r="G63" s="20">
        <f t="shared" si="20"/>
        <v>1.5621999999999998</v>
      </c>
      <c r="H63" s="20">
        <f t="shared" si="0"/>
        <v>1.5621999999999998</v>
      </c>
      <c r="I63" s="16"/>
      <c r="J63" s="20"/>
      <c r="K63" s="20">
        <f t="shared" si="2"/>
        <v>0</v>
      </c>
      <c r="L63" s="78"/>
      <c r="M63" s="20"/>
      <c r="N63" s="25"/>
    </row>
    <row r="64" spans="1:14" s="7" customFormat="1" x14ac:dyDescent="0.25">
      <c r="A64" s="101"/>
      <c r="B64" s="17" t="s">
        <v>86</v>
      </c>
      <c r="C64" s="16" t="s">
        <v>91</v>
      </c>
      <c r="D64" s="20"/>
      <c r="E64" s="20">
        <f t="shared" ref="E64:E66" si="21">1.83*0.8</f>
        <v>1.4640000000000002</v>
      </c>
      <c r="F64" s="16">
        <v>1</v>
      </c>
      <c r="G64" s="20">
        <f t="shared" si="20"/>
        <v>1.5621999999999998</v>
      </c>
      <c r="H64" s="20">
        <f t="shared" si="0"/>
        <v>1.5621999999999998</v>
      </c>
      <c r="I64" s="16"/>
      <c r="J64" s="20"/>
      <c r="K64" s="20">
        <f t="shared" si="2"/>
        <v>0</v>
      </c>
      <c r="L64" s="78"/>
      <c r="M64" s="20"/>
      <c r="N64" s="25"/>
    </row>
    <row r="65" spans="1:14" s="7" customFormat="1" x14ac:dyDescent="0.25">
      <c r="A65" s="101"/>
      <c r="B65" s="17" t="s">
        <v>86</v>
      </c>
      <c r="C65" s="16" t="s">
        <v>92</v>
      </c>
      <c r="D65" s="20"/>
      <c r="E65" s="20">
        <f t="shared" si="21"/>
        <v>1.4640000000000002</v>
      </c>
      <c r="F65" s="16">
        <v>1</v>
      </c>
      <c r="G65" s="20">
        <f t="shared" si="20"/>
        <v>1.5621999999999998</v>
      </c>
      <c r="H65" s="20">
        <f t="shared" si="0"/>
        <v>1.5621999999999998</v>
      </c>
      <c r="I65" s="16"/>
      <c r="J65" s="20"/>
      <c r="K65" s="20">
        <f t="shared" si="2"/>
        <v>0</v>
      </c>
      <c r="L65" s="78"/>
      <c r="M65" s="20"/>
      <c r="N65" s="25"/>
    </row>
    <row r="66" spans="1:14" s="7" customFormat="1" x14ac:dyDescent="0.25">
      <c r="A66" s="101"/>
      <c r="B66" s="17" t="s">
        <v>86</v>
      </c>
      <c r="C66" s="16" t="s">
        <v>93</v>
      </c>
      <c r="D66" s="20"/>
      <c r="E66" s="20">
        <f t="shared" si="21"/>
        <v>1.4640000000000002</v>
      </c>
      <c r="F66" s="16">
        <v>2</v>
      </c>
      <c r="G66" s="20">
        <f t="shared" si="20"/>
        <v>1.5621999999999998</v>
      </c>
      <c r="H66" s="20">
        <f t="shared" si="0"/>
        <v>3.1243999999999996</v>
      </c>
      <c r="I66" s="16"/>
      <c r="J66" s="20"/>
      <c r="K66" s="20">
        <f t="shared" si="2"/>
        <v>0</v>
      </c>
      <c r="L66" s="78"/>
      <c r="M66" s="20"/>
      <c r="N66" s="25"/>
    </row>
    <row r="67" spans="1:14" s="7" customFormat="1" x14ac:dyDescent="0.25">
      <c r="A67" s="101"/>
      <c r="B67" s="17" t="s">
        <v>47</v>
      </c>
      <c r="C67" s="16" t="s">
        <v>94</v>
      </c>
      <c r="D67" s="20"/>
      <c r="E67" s="20">
        <f>1.83*(3.17+2.59+2.54+1.47)</f>
        <v>17.879100000000005</v>
      </c>
      <c r="F67" s="16"/>
      <c r="G67" s="20"/>
      <c r="H67" s="20">
        <f t="shared" si="0"/>
        <v>0</v>
      </c>
      <c r="I67" s="16"/>
      <c r="J67" s="20"/>
      <c r="K67" s="20">
        <f t="shared" si="2"/>
        <v>0</v>
      </c>
      <c r="L67" s="78"/>
      <c r="M67" s="20"/>
      <c r="N67" s="25"/>
    </row>
    <row r="68" spans="1:14" s="7" customFormat="1" x14ac:dyDescent="0.25">
      <c r="A68" s="101"/>
      <c r="B68" s="99" t="s">
        <v>86</v>
      </c>
      <c r="C68" s="98" t="s">
        <v>95</v>
      </c>
      <c r="D68" s="20"/>
      <c r="E68" s="20"/>
      <c r="F68" s="16"/>
      <c r="G68" s="20"/>
      <c r="H68" s="20">
        <f t="shared" si="0"/>
        <v>0</v>
      </c>
      <c r="I68" s="16">
        <v>1</v>
      </c>
      <c r="J68" s="20">
        <f t="shared" ref="J68:J93" si="22">0.77*(1.46+0.7)</f>
        <v>1.6632000000000002</v>
      </c>
      <c r="K68" s="20">
        <f t="shared" si="2"/>
        <v>1.6632000000000002</v>
      </c>
      <c r="L68" s="78"/>
      <c r="M68" s="20"/>
      <c r="N68" s="25"/>
    </row>
    <row r="69" spans="1:14" s="7" customFormat="1" x14ac:dyDescent="0.25">
      <c r="A69" s="101"/>
      <c r="B69" s="99"/>
      <c r="C69" s="98"/>
      <c r="D69" s="20"/>
      <c r="E69" s="20"/>
      <c r="F69" s="16"/>
      <c r="G69" s="20"/>
      <c r="H69" s="20"/>
      <c r="I69" s="16">
        <v>1</v>
      </c>
      <c r="J69" s="20">
        <f t="shared" ref="J69:J83" si="23">0.77*2.25</f>
        <v>1.7324999999999999</v>
      </c>
      <c r="K69" s="20">
        <f t="shared" si="2"/>
        <v>1.7324999999999999</v>
      </c>
      <c r="L69" s="78"/>
      <c r="M69" s="20"/>
      <c r="N69" s="25"/>
    </row>
    <row r="70" spans="1:14" s="7" customFormat="1" x14ac:dyDescent="0.25">
      <c r="A70" s="101"/>
      <c r="B70" s="99" t="s">
        <v>86</v>
      </c>
      <c r="C70" s="98" t="s">
        <v>96</v>
      </c>
      <c r="D70" s="20"/>
      <c r="E70" s="97">
        <f>1.83*0.8</f>
        <v>1.4640000000000002</v>
      </c>
      <c r="F70" s="16"/>
      <c r="G70" s="20"/>
      <c r="H70" s="20">
        <f t="shared" si="0"/>
        <v>0</v>
      </c>
      <c r="I70" s="16">
        <v>2</v>
      </c>
      <c r="J70" s="20">
        <f t="shared" si="22"/>
        <v>1.6632000000000002</v>
      </c>
      <c r="K70" s="20">
        <f t="shared" si="2"/>
        <v>3.3264000000000005</v>
      </c>
      <c r="L70" s="78"/>
      <c r="M70" s="20"/>
      <c r="N70" s="25"/>
    </row>
    <row r="71" spans="1:14" s="7" customFormat="1" x14ac:dyDescent="0.25">
      <c r="A71" s="101"/>
      <c r="B71" s="99"/>
      <c r="C71" s="98"/>
      <c r="D71" s="20"/>
      <c r="E71" s="97"/>
      <c r="F71" s="16"/>
      <c r="G71" s="20"/>
      <c r="H71" s="20"/>
      <c r="I71" s="16">
        <v>1</v>
      </c>
      <c r="J71" s="20">
        <f t="shared" si="23"/>
        <v>1.7324999999999999</v>
      </c>
      <c r="K71" s="20">
        <f t="shared" si="2"/>
        <v>1.7324999999999999</v>
      </c>
      <c r="L71" s="78"/>
      <c r="M71" s="20"/>
      <c r="N71" s="25"/>
    </row>
    <row r="72" spans="1:14" s="7" customFormat="1" x14ac:dyDescent="0.25">
      <c r="A72" s="101"/>
      <c r="B72" s="99" t="s">
        <v>86</v>
      </c>
      <c r="C72" s="98" t="s">
        <v>97</v>
      </c>
      <c r="D72" s="20"/>
      <c r="E72" s="97">
        <f t="shared" ref="E72:E76" si="24">1.83*0.8</f>
        <v>1.4640000000000002</v>
      </c>
      <c r="F72" s="16"/>
      <c r="G72" s="20"/>
      <c r="H72" s="20">
        <f t="shared" ref="H72:H74" si="25">F72*G72</f>
        <v>0</v>
      </c>
      <c r="I72" s="16">
        <v>1</v>
      </c>
      <c r="J72" s="20">
        <f t="shared" si="22"/>
        <v>1.6632000000000002</v>
      </c>
      <c r="K72" s="20">
        <f t="shared" si="2"/>
        <v>1.6632000000000002</v>
      </c>
      <c r="L72" s="78"/>
      <c r="M72" s="20"/>
      <c r="N72" s="25"/>
    </row>
    <row r="73" spans="1:14" s="7" customFormat="1" x14ac:dyDescent="0.25">
      <c r="A73" s="101"/>
      <c r="B73" s="99"/>
      <c r="C73" s="98"/>
      <c r="D73" s="20"/>
      <c r="E73" s="97"/>
      <c r="F73" s="16"/>
      <c r="G73" s="20"/>
      <c r="H73" s="20"/>
      <c r="I73" s="16">
        <v>2</v>
      </c>
      <c r="J73" s="20">
        <f t="shared" si="23"/>
        <v>1.7324999999999999</v>
      </c>
      <c r="K73" s="20">
        <f t="shared" si="2"/>
        <v>3.4649999999999999</v>
      </c>
      <c r="L73" s="78"/>
      <c r="M73" s="20"/>
      <c r="N73" s="25"/>
    </row>
    <row r="74" spans="1:14" s="7" customFormat="1" x14ac:dyDescent="0.25">
      <c r="A74" s="101"/>
      <c r="B74" s="99" t="s">
        <v>86</v>
      </c>
      <c r="C74" s="98" t="s">
        <v>98</v>
      </c>
      <c r="D74" s="20"/>
      <c r="E74" s="97">
        <f t="shared" si="24"/>
        <v>1.4640000000000002</v>
      </c>
      <c r="F74" s="16"/>
      <c r="G74" s="20"/>
      <c r="H74" s="20">
        <f t="shared" si="25"/>
        <v>0</v>
      </c>
      <c r="I74" s="16">
        <v>1</v>
      </c>
      <c r="J74" s="20">
        <f t="shared" si="22"/>
        <v>1.6632000000000002</v>
      </c>
      <c r="K74" s="20">
        <f t="shared" si="2"/>
        <v>1.6632000000000002</v>
      </c>
      <c r="L74" s="78"/>
      <c r="M74" s="20"/>
      <c r="N74" s="25"/>
    </row>
    <row r="75" spans="1:14" s="2" customFormat="1" x14ac:dyDescent="0.25">
      <c r="A75" s="101"/>
      <c r="B75" s="99"/>
      <c r="C75" s="98"/>
      <c r="D75" s="20"/>
      <c r="E75" s="97"/>
      <c r="F75" s="16"/>
      <c r="G75" s="20"/>
      <c r="H75" s="20"/>
      <c r="I75" s="16">
        <v>1</v>
      </c>
      <c r="J75" s="20">
        <f t="shared" si="23"/>
        <v>1.7324999999999999</v>
      </c>
      <c r="K75" s="20">
        <f t="shared" si="2"/>
        <v>1.7324999999999999</v>
      </c>
      <c r="L75" s="78"/>
      <c r="M75" s="20"/>
      <c r="N75" s="25"/>
    </row>
    <row r="76" spans="1:14" s="2" customFormat="1" x14ac:dyDescent="0.25">
      <c r="A76" s="101"/>
      <c r="B76" s="99" t="s">
        <v>86</v>
      </c>
      <c r="C76" s="98" t="s">
        <v>99</v>
      </c>
      <c r="D76" s="20"/>
      <c r="E76" s="97">
        <f t="shared" si="24"/>
        <v>1.4640000000000002</v>
      </c>
      <c r="F76" s="16"/>
      <c r="G76" s="20"/>
      <c r="H76" s="20">
        <f t="shared" ref="H76:H111" si="26">F76*G76</f>
        <v>0</v>
      </c>
      <c r="I76" s="16">
        <v>2</v>
      </c>
      <c r="J76" s="20">
        <f t="shared" si="22"/>
        <v>1.6632000000000002</v>
      </c>
      <c r="K76" s="20">
        <f t="shared" si="2"/>
        <v>3.3264000000000005</v>
      </c>
      <c r="L76" s="78"/>
      <c r="M76" s="20"/>
      <c r="N76" s="25"/>
    </row>
    <row r="77" spans="1:14" s="2" customFormat="1" x14ac:dyDescent="0.25">
      <c r="A77" s="101"/>
      <c r="B77" s="99"/>
      <c r="C77" s="98"/>
      <c r="D77" s="20"/>
      <c r="E77" s="97"/>
      <c r="F77" s="16"/>
      <c r="G77" s="20"/>
      <c r="H77" s="20"/>
      <c r="I77" s="16">
        <v>1</v>
      </c>
      <c r="J77" s="20">
        <f t="shared" si="23"/>
        <v>1.7324999999999999</v>
      </c>
      <c r="K77" s="20">
        <f t="shared" si="2"/>
        <v>1.7324999999999999</v>
      </c>
      <c r="L77" s="78"/>
      <c r="M77" s="20"/>
      <c r="N77" s="25"/>
    </row>
    <row r="78" spans="1:14" s="2" customFormat="1" x14ac:dyDescent="0.25">
      <c r="A78" s="101"/>
      <c r="B78" s="99" t="s">
        <v>122</v>
      </c>
      <c r="C78" s="98" t="s">
        <v>120</v>
      </c>
      <c r="D78" s="20"/>
      <c r="E78" s="97"/>
      <c r="F78" s="16"/>
      <c r="G78" s="20"/>
      <c r="H78" s="20">
        <f t="shared" ref="H78" si="27">F78*G78</f>
        <v>0</v>
      </c>
      <c r="I78" s="16">
        <v>1</v>
      </c>
      <c r="J78" s="20">
        <f t="shared" si="22"/>
        <v>1.6632000000000002</v>
      </c>
      <c r="K78" s="20">
        <f t="shared" ref="K78:K141" si="28">I78*J78</f>
        <v>1.6632000000000002</v>
      </c>
      <c r="L78" s="78"/>
      <c r="M78" s="20"/>
      <c r="N78" s="25"/>
    </row>
    <row r="79" spans="1:14" s="2" customFormat="1" x14ac:dyDescent="0.25">
      <c r="A79" s="101"/>
      <c r="B79" s="99"/>
      <c r="C79" s="98"/>
      <c r="D79" s="20"/>
      <c r="E79" s="97"/>
      <c r="F79" s="16"/>
      <c r="G79" s="20"/>
      <c r="H79" s="20"/>
      <c r="I79" s="16">
        <v>1</v>
      </c>
      <c r="J79" s="20">
        <f t="shared" si="23"/>
        <v>1.7324999999999999</v>
      </c>
      <c r="K79" s="20">
        <f t="shared" si="28"/>
        <v>1.7324999999999999</v>
      </c>
      <c r="L79" s="78"/>
      <c r="M79" s="20"/>
      <c r="N79" s="25"/>
    </row>
    <row r="80" spans="1:14" s="2" customFormat="1" x14ac:dyDescent="0.25">
      <c r="A80" s="101"/>
      <c r="B80" s="99" t="s">
        <v>122</v>
      </c>
      <c r="C80" s="98" t="s">
        <v>121</v>
      </c>
      <c r="D80" s="20"/>
      <c r="E80" s="97"/>
      <c r="F80" s="16"/>
      <c r="G80" s="20"/>
      <c r="H80" s="20">
        <f t="shared" ref="H80" si="29">F80*G80</f>
        <v>0</v>
      </c>
      <c r="I80" s="16">
        <v>2</v>
      </c>
      <c r="J80" s="20">
        <f t="shared" si="22"/>
        <v>1.6632000000000002</v>
      </c>
      <c r="K80" s="20">
        <f t="shared" si="28"/>
        <v>3.3264000000000005</v>
      </c>
      <c r="L80" s="78"/>
      <c r="M80" s="20"/>
      <c r="N80" s="25"/>
    </row>
    <row r="81" spans="1:14" s="2" customFormat="1" x14ac:dyDescent="0.25">
      <c r="A81" s="101"/>
      <c r="B81" s="99"/>
      <c r="C81" s="98"/>
      <c r="D81" s="20"/>
      <c r="E81" s="97"/>
      <c r="F81" s="16"/>
      <c r="G81" s="20"/>
      <c r="H81" s="20"/>
      <c r="I81" s="16">
        <v>1</v>
      </c>
      <c r="J81" s="20">
        <f t="shared" si="23"/>
        <v>1.7324999999999999</v>
      </c>
      <c r="K81" s="20">
        <f t="shared" si="28"/>
        <v>1.7324999999999999</v>
      </c>
      <c r="L81" s="78"/>
      <c r="M81" s="20"/>
      <c r="N81" s="25"/>
    </row>
    <row r="82" spans="1:14" s="2" customFormat="1" x14ac:dyDescent="0.25">
      <c r="A82" s="101"/>
      <c r="B82" s="99" t="s">
        <v>47</v>
      </c>
      <c r="C82" s="98" t="s">
        <v>100</v>
      </c>
      <c r="D82" s="20"/>
      <c r="E82" s="97">
        <f>1.83*0.8</f>
        <v>1.4640000000000002</v>
      </c>
      <c r="F82" s="16"/>
      <c r="G82" s="20"/>
      <c r="H82" s="20">
        <f t="shared" si="26"/>
        <v>0</v>
      </c>
      <c r="I82" s="16">
        <v>1</v>
      </c>
      <c r="J82" s="20">
        <f t="shared" si="22"/>
        <v>1.6632000000000002</v>
      </c>
      <c r="K82" s="20">
        <f t="shared" si="28"/>
        <v>1.6632000000000002</v>
      </c>
      <c r="L82" s="78"/>
      <c r="M82" s="20"/>
      <c r="N82" s="25"/>
    </row>
    <row r="83" spans="1:14" s="2" customFormat="1" x14ac:dyDescent="0.25">
      <c r="A83" s="101"/>
      <c r="B83" s="99"/>
      <c r="C83" s="98"/>
      <c r="D83" s="20"/>
      <c r="E83" s="97"/>
      <c r="F83" s="16"/>
      <c r="G83" s="20"/>
      <c r="H83" s="20"/>
      <c r="I83" s="16">
        <v>2</v>
      </c>
      <c r="J83" s="20">
        <f t="shared" si="23"/>
        <v>1.7324999999999999</v>
      </c>
      <c r="K83" s="20">
        <f t="shared" si="28"/>
        <v>3.4649999999999999</v>
      </c>
      <c r="L83" s="78"/>
      <c r="M83" s="20"/>
      <c r="N83" s="25"/>
    </row>
    <row r="84" spans="1:14" s="2" customFormat="1" x14ac:dyDescent="0.25">
      <c r="A84" s="101"/>
      <c r="B84" s="17" t="s">
        <v>102</v>
      </c>
      <c r="C84" s="16" t="s">
        <v>101</v>
      </c>
      <c r="D84" s="20"/>
      <c r="E84" s="20">
        <f>1.83*1.3</f>
        <v>2.379</v>
      </c>
      <c r="F84" s="16"/>
      <c r="G84" s="20"/>
      <c r="H84" s="20">
        <f t="shared" si="26"/>
        <v>0</v>
      </c>
      <c r="I84" s="16">
        <v>2</v>
      </c>
      <c r="J84" s="20">
        <f t="shared" si="22"/>
        <v>1.6632000000000002</v>
      </c>
      <c r="K84" s="20">
        <f t="shared" si="28"/>
        <v>3.3264000000000005</v>
      </c>
      <c r="L84" s="78"/>
      <c r="M84" s="20"/>
      <c r="N84" s="25"/>
    </row>
    <row r="85" spans="1:14" s="2" customFormat="1" x14ac:dyDescent="0.25">
      <c r="A85" s="101"/>
      <c r="B85" s="99" t="s">
        <v>105</v>
      </c>
      <c r="C85" s="98" t="s">
        <v>103</v>
      </c>
      <c r="D85" s="97">
        <f>1.09*2.44</f>
        <v>2.6596000000000002</v>
      </c>
      <c r="E85" s="97"/>
      <c r="F85" s="16"/>
      <c r="G85" s="20"/>
      <c r="H85" s="20">
        <f t="shared" si="26"/>
        <v>0</v>
      </c>
      <c r="I85" s="16">
        <v>2</v>
      </c>
      <c r="J85" s="20">
        <f t="shared" si="22"/>
        <v>1.6632000000000002</v>
      </c>
      <c r="K85" s="20">
        <f t="shared" si="28"/>
        <v>3.3264000000000005</v>
      </c>
      <c r="L85" s="78"/>
      <c r="M85" s="20"/>
      <c r="N85" s="25"/>
    </row>
    <row r="86" spans="1:14" s="2" customFormat="1" x14ac:dyDescent="0.25">
      <c r="A86" s="101"/>
      <c r="B86" s="99"/>
      <c r="C86" s="98"/>
      <c r="D86" s="97"/>
      <c r="E86" s="97"/>
      <c r="F86" s="16"/>
      <c r="G86" s="20"/>
      <c r="H86" s="20">
        <f t="shared" si="26"/>
        <v>0</v>
      </c>
      <c r="I86" s="16">
        <v>1</v>
      </c>
      <c r="J86" s="20">
        <f t="shared" ref="J86:J94" si="30">0.77*2.25</f>
        <v>1.7324999999999999</v>
      </c>
      <c r="K86" s="20">
        <f t="shared" si="28"/>
        <v>1.7324999999999999</v>
      </c>
      <c r="L86" s="78"/>
      <c r="M86" s="20"/>
      <c r="N86" s="25"/>
    </row>
    <row r="87" spans="1:14" s="2" customFormat="1" x14ac:dyDescent="0.25">
      <c r="A87" s="101"/>
      <c r="B87" s="99" t="s">
        <v>104</v>
      </c>
      <c r="C87" s="98"/>
      <c r="D87" s="97"/>
      <c r="E87" s="97"/>
      <c r="F87" s="16"/>
      <c r="G87" s="20"/>
      <c r="H87" s="20">
        <f t="shared" si="26"/>
        <v>0</v>
      </c>
      <c r="I87" s="16">
        <v>3</v>
      </c>
      <c r="J87" s="20">
        <f t="shared" si="22"/>
        <v>1.6632000000000002</v>
      </c>
      <c r="K87" s="20">
        <f t="shared" si="28"/>
        <v>4.9896000000000011</v>
      </c>
      <c r="L87" s="78"/>
      <c r="M87" s="20"/>
      <c r="N87" s="25"/>
    </row>
    <row r="88" spans="1:14" s="2" customFormat="1" x14ac:dyDescent="0.25">
      <c r="A88" s="101"/>
      <c r="B88" s="99"/>
      <c r="C88" s="98"/>
      <c r="D88" s="97"/>
      <c r="E88" s="97"/>
      <c r="F88" s="16"/>
      <c r="G88" s="20"/>
      <c r="H88" s="20">
        <f t="shared" si="26"/>
        <v>0</v>
      </c>
      <c r="I88" s="16">
        <v>5</v>
      </c>
      <c r="J88" s="20">
        <f t="shared" si="30"/>
        <v>1.7324999999999999</v>
      </c>
      <c r="K88" s="20">
        <f t="shared" si="28"/>
        <v>8.6624999999999996</v>
      </c>
      <c r="L88" s="78"/>
      <c r="M88" s="20"/>
      <c r="N88" s="25"/>
    </row>
    <row r="89" spans="1:14" s="2" customFormat="1" x14ac:dyDescent="0.25">
      <c r="A89" s="101"/>
      <c r="B89" s="99" t="s">
        <v>106</v>
      </c>
      <c r="C89" s="98" t="s">
        <v>110</v>
      </c>
      <c r="D89" s="97">
        <f>1.09*2.98</f>
        <v>3.2482000000000002</v>
      </c>
      <c r="E89" s="97"/>
      <c r="F89" s="16"/>
      <c r="G89" s="20"/>
      <c r="H89" s="20">
        <f t="shared" si="26"/>
        <v>0</v>
      </c>
      <c r="I89" s="16">
        <v>1</v>
      </c>
      <c r="J89" s="20">
        <f t="shared" si="22"/>
        <v>1.6632000000000002</v>
      </c>
      <c r="K89" s="20">
        <f t="shared" si="28"/>
        <v>1.6632000000000002</v>
      </c>
      <c r="L89" s="114">
        <v>1</v>
      </c>
      <c r="M89" s="140">
        <f>0.68*1.78</f>
        <v>1.2104000000000001</v>
      </c>
      <c r="N89" s="25"/>
    </row>
    <row r="90" spans="1:14" s="2" customFormat="1" x14ac:dyDescent="0.25">
      <c r="A90" s="101"/>
      <c r="B90" s="99"/>
      <c r="C90" s="98"/>
      <c r="D90" s="97"/>
      <c r="E90" s="97"/>
      <c r="F90" s="16"/>
      <c r="G90" s="20"/>
      <c r="H90" s="20">
        <f t="shared" si="26"/>
        <v>0</v>
      </c>
      <c r="I90" s="16">
        <v>1</v>
      </c>
      <c r="J90" s="20">
        <f t="shared" si="30"/>
        <v>1.7324999999999999</v>
      </c>
      <c r="K90" s="20">
        <f t="shared" si="28"/>
        <v>1.7324999999999999</v>
      </c>
      <c r="L90" s="115"/>
      <c r="M90" s="140"/>
      <c r="N90" s="25"/>
    </row>
    <row r="91" spans="1:14" s="2" customFormat="1" x14ac:dyDescent="0.25">
      <c r="A91" s="101"/>
      <c r="B91" s="99" t="s">
        <v>107</v>
      </c>
      <c r="C91" s="98" t="s">
        <v>111</v>
      </c>
      <c r="D91" s="97">
        <f>1.09*6.57</f>
        <v>7.1613000000000007</v>
      </c>
      <c r="E91" s="97"/>
      <c r="F91" s="16"/>
      <c r="G91" s="20"/>
      <c r="H91" s="20">
        <f t="shared" si="26"/>
        <v>0</v>
      </c>
      <c r="I91" s="16">
        <v>4</v>
      </c>
      <c r="J91" s="20">
        <f t="shared" si="22"/>
        <v>1.6632000000000002</v>
      </c>
      <c r="K91" s="20">
        <f t="shared" si="28"/>
        <v>6.6528000000000009</v>
      </c>
      <c r="L91" s="78"/>
      <c r="M91" s="20"/>
      <c r="N91" s="25"/>
    </row>
    <row r="92" spans="1:14" s="2" customFormat="1" x14ac:dyDescent="0.25">
      <c r="A92" s="101"/>
      <c r="B92" s="99"/>
      <c r="C92" s="98"/>
      <c r="D92" s="97"/>
      <c r="E92" s="97"/>
      <c r="F92" s="16"/>
      <c r="G92" s="20"/>
      <c r="H92" s="20">
        <f t="shared" si="26"/>
        <v>0</v>
      </c>
      <c r="I92" s="16">
        <v>3</v>
      </c>
      <c r="J92" s="20">
        <f t="shared" si="30"/>
        <v>1.7324999999999999</v>
      </c>
      <c r="K92" s="20">
        <f t="shared" si="28"/>
        <v>5.1974999999999998</v>
      </c>
      <c r="L92" s="78"/>
      <c r="M92" s="20"/>
      <c r="N92" s="25"/>
    </row>
    <row r="93" spans="1:14" s="2" customFormat="1" x14ac:dyDescent="0.25">
      <c r="A93" s="101"/>
      <c r="B93" s="99" t="s">
        <v>108</v>
      </c>
      <c r="C93" s="98" t="s">
        <v>112</v>
      </c>
      <c r="D93" s="97">
        <f>1.09*0.9</f>
        <v>0.98100000000000009</v>
      </c>
      <c r="E93" s="97"/>
      <c r="F93" s="16"/>
      <c r="G93" s="20"/>
      <c r="H93" s="20">
        <f t="shared" si="26"/>
        <v>0</v>
      </c>
      <c r="I93" s="16">
        <v>3</v>
      </c>
      <c r="J93" s="20">
        <f t="shared" si="22"/>
        <v>1.6632000000000002</v>
      </c>
      <c r="K93" s="20">
        <f t="shared" si="28"/>
        <v>4.9896000000000011</v>
      </c>
      <c r="L93" s="78"/>
      <c r="M93" s="20"/>
      <c r="N93" s="25"/>
    </row>
    <row r="94" spans="1:14" s="2" customFormat="1" x14ac:dyDescent="0.25">
      <c r="A94" s="101"/>
      <c r="B94" s="99"/>
      <c r="C94" s="98"/>
      <c r="D94" s="97"/>
      <c r="E94" s="97"/>
      <c r="F94" s="16"/>
      <c r="G94" s="20"/>
      <c r="H94" s="20">
        <f t="shared" si="26"/>
        <v>0</v>
      </c>
      <c r="I94" s="16">
        <v>4</v>
      </c>
      <c r="J94" s="20">
        <f t="shared" si="30"/>
        <v>1.7324999999999999</v>
      </c>
      <c r="K94" s="20">
        <f t="shared" si="28"/>
        <v>6.93</v>
      </c>
      <c r="L94" s="78"/>
      <c r="M94" s="20"/>
      <c r="N94" s="25"/>
    </row>
    <row r="95" spans="1:14" s="2" customFormat="1" x14ac:dyDescent="0.25">
      <c r="A95" s="101"/>
      <c r="B95" s="17" t="s">
        <v>109</v>
      </c>
      <c r="C95" s="16" t="s">
        <v>113</v>
      </c>
      <c r="D95" s="20"/>
      <c r="E95" s="20">
        <f>1.09*(0.5+1.19)</f>
        <v>1.8421000000000001</v>
      </c>
      <c r="F95" s="16"/>
      <c r="G95" s="20"/>
      <c r="H95" s="20">
        <f t="shared" si="26"/>
        <v>0</v>
      </c>
      <c r="I95" s="16"/>
      <c r="J95" s="20"/>
      <c r="K95" s="20">
        <f t="shared" si="28"/>
        <v>0</v>
      </c>
      <c r="L95" s="78"/>
      <c r="M95" s="20"/>
      <c r="N95" s="25"/>
    </row>
    <row r="96" spans="1:14" s="2" customFormat="1" x14ac:dyDescent="0.25">
      <c r="A96" s="101"/>
      <c r="B96" s="17" t="s">
        <v>109</v>
      </c>
      <c r="C96" s="16" t="s">
        <v>114</v>
      </c>
      <c r="D96" s="20"/>
      <c r="E96" s="20">
        <f t="shared" ref="E96:E98" si="31">1.09*(0.5+1.19)</f>
        <v>1.8421000000000001</v>
      </c>
      <c r="F96" s="16"/>
      <c r="G96" s="20"/>
      <c r="H96" s="20">
        <f t="shared" si="26"/>
        <v>0</v>
      </c>
      <c r="I96" s="16"/>
      <c r="J96" s="20"/>
      <c r="K96" s="20">
        <f t="shared" si="28"/>
        <v>0</v>
      </c>
      <c r="L96" s="78"/>
      <c r="M96" s="20"/>
      <c r="N96" s="25"/>
    </row>
    <row r="97" spans="1:14" s="2" customFormat="1" x14ac:dyDescent="0.25">
      <c r="A97" s="101"/>
      <c r="B97" s="17" t="s">
        <v>109</v>
      </c>
      <c r="C97" s="16" t="s">
        <v>115</v>
      </c>
      <c r="D97" s="20"/>
      <c r="E97" s="20">
        <f t="shared" si="31"/>
        <v>1.8421000000000001</v>
      </c>
      <c r="F97" s="16"/>
      <c r="G97" s="20"/>
      <c r="H97" s="20">
        <f t="shared" si="26"/>
        <v>0</v>
      </c>
      <c r="I97" s="16"/>
      <c r="J97" s="20"/>
      <c r="K97" s="20">
        <f t="shared" si="28"/>
        <v>0</v>
      </c>
      <c r="L97" s="78"/>
      <c r="M97" s="20"/>
      <c r="N97" s="25"/>
    </row>
    <row r="98" spans="1:14" s="2" customFormat="1" x14ac:dyDescent="0.25">
      <c r="A98" s="101"/>
      <c r="B98" s="17" t="s">
        <v>109</v>
      </c>
      <c r="C98" s="16" t="s">
        <v>116</v>
      </c>
      <c r="D98" s="20"/>
      <c r="E98" s="20">
        <f t="shared" si="31"/>
        <v>1.8421000000000001</v>
      </c>
      <c r="F98" s="16"/>
      <c r="G98" s="20"/>
      <c r="H98" s="20">
        <f t="shared" si="26"/>
        <v>0</v>
      </c>
      <c r="I98" s="16"/>
      <c r="J98" s="20"/>
      <c r="K98" s="20">
        <f t="shared" si="28"/>
        <v>0</v>
      </c>
      <c r="L98" s="78"/>
      <c r="M98" s="20"/>
      <c r="N98" s="25"/>
    </row>
    <row r="99" spans="1:14" s="2" customFormat="1" x14ac:dyDescent="0.25">
      <c r="A99" s="101"/>
      <c r="B99" s="17" t="s">
        <v>109</v>
      </c>
      <c r="C99" s="16" t="s">
        <v>117</v>
      </c>
      <c r="D99" s="20"/>
      <c r="E99" s="20">
        <f>1.09*0.5</f>
        <v>0.54500000000000004</v>
      </c>
      <c r="F99" s="16"/>
      <c r="G99" s="20"/>
      <c r="H99" s="20">
        <f t="shared" si="26"/>
        <v>0</v>
      </c>
      <c r="I99" s="16"/>
      <c r="J99" s="20"/>
      <c r="K99" s="20">
        <f t="shared" si="28"/>
        <v>0</v>
      </c>
      <c r="L99" s="78"/>
      <c r="M99" s="20"/>
      <c r="N99" s="25"/>
    </row>
    <row r="100" spans="1:14" s="2" customFormat="1" x14ac:dyDescent="0.25">
      <c r="A100" s="101"/>
      <c r="B100" s="17" t="s">
        <v>119</v>
      </c>
      <c r="C100" s="16" t="s">
        <v>118</v>
      </c>
      <c r="D100" s="20">
        <f>1.09*(1.66+1.21)</f>
        <v>3.1283000000000003</v>
      </c>
      <c r="E100" s="20"/>
      <c r="F100" s="16"/>
      <c r="G100" s="20"/>
      <c r="H100" s="20">
        <f t="shared" si="26"/>
        <v>0</v>
      </c>
      <c r="I100" s="16"/>
      <c r="J100" s="20"/>
      <c r="K100" s="20">
        <f t="shared" si="28"/>
        <v>0</v>
      </c>
      <c r="L100" s="78"/>
      <c r="M100" s="20"/>
      <c r="N100" s="25"/>
    </row>
    <row r="101" spans="1:14" s="2" customFormat="1" x14ac:dyDescent="0.25">
      <c r="A101" s="101"/>
      <c r="B101" s="99" t="s">
        <v>123</v>
      </c>
      <c r="C101" s="98" t="s">
        <v>124</v>
      </c>
      <c r="D101" s="97"/>
      <c r="E101" s="97"/>
      <c r="F101" s="16"/>
      <c r="G101" s="20"/>
      <c r="H101" s="20">
        <f t="shared" si="26"/>
        <v>0</v>
      </c>
      <c r="I101" s="16">
        <v>2</v>
      </c>
      <c r="J101" s="20">
        <f t="shared" ref="J101:J103" si="32">0.77*(1.46+0.7)</f>
        <v>1.6632000000000002</v>
      </c>
      <c r="K101" s="20">
        <f t="shared" si="28"/>
        <v>3.3264000000000005</v>
      </c>
      <c r="L101" s="114">
        <v>1</v>
      </c>
      <c r="M101" s="97">
        <f>0.68*1.78</f>
        <v>1.2104000000000001</v>
      </c>
      <c r="N101" s="25"/>
    </row>
    <row r="102" spans="1:14" s="2" customFormat="1" x14ac:dyDescent="0.25">
      <c r="A102" s="101"/>
      <c r="B102" s="99"/>
      <c r="C102" s="98"/>
      <c r="D102" s="97"/>
      <c r="E102" s="97"/>
      <c r="F102" s="16"/>
      <c r="G102" s="20"/>
      <c r="H102" s="20">
        <f t="shared" si="26"/>
        <v>0</v>
      </c>
      <c r="I102" s="16">
        <v>1</v>
      </c>
      <c r="J102" s="20">
        <f t="shared" ref="J102:J104" si="33">0.77*2.25</f>
        <v>1.7324999999999999</v>
      </c>
      <c r="K102" s="20">
        <f t="shared" si="28"/>
        <v>1.7324999999999999</v>
      </c>
      <c r="L102" s="115"/>
      <c r="M102" s="97"/>
      <c r="N102" s="25"/>
    </row>
    <row r="103" spans="1:14" s="2" customFormat="1" x14ac:dyDescent="0.25">
      <c r="A103" s="101"/>
      <c r="B103" s="99" t="s">
        <v>125</v>
      </c>
      <c r="C103" s="98" t="s">
        <v>126</v>
      </c>
      <c r="D103" s="97"/>
      <c r="E103" s="97">
        <f>1.83*1.4</f>
        <v>2.5619999999999998</v>
      </c>
      <c r="F103" s="16"/>
      <c r="G103" s="20"/>
      <c r="H103" s="20">
        <f t="shared" si="26"/>
        <v>0</v>
      </c>
      <c r="I103" s="16">
        <v>10</v>
      </c>
      <c r="J103" s="20">
        <f t="shared" si="32"/>
        <v>1.6632000000000002</v>
      </c>
      <c r="K103" s="20">
        <f t="shared" si="28"/>
        <v>16.632000000000001</v>
      </c>
      <c r="L103" s="78"/>
      <c r="M103" s="20"/>
      <c r="N103" s="25"/>
    </row>
    <row r="104" spans="1:14" s="2" customFormat="1" x14ac:dyDescent="0.25">
      <c r="A104" s="101"/>
      <c r="B104" s="99"/>
      <c r="C104" s="98"/>
      <c r="D104" s="97"/>
      <c r="E104" s="97"/>
      <c r="F104" s="16"/>
      <c r="G104" s="20"/>
      <c r="H104" s="20">
        <f t="shared" si="26"/>
        <v>0</v>
      </c>
      <c r="I104" s="16">
        <v>6</v>
      </c>
      <c r="J104" s="20">
        <f t="shared" si="33"/>
        <v>1.7324999999999999</v>
      </c>
      <c r="K104" s="20">
        <f t="shared" si="28"/>
        <v>10.395</v>
      </c>
      <c r="L104" s="78"/>
      <c r="M104" s="20"/>
      <c r="N104" s="25"/>
    </row>
    <row r="105" spans="1:14" s="2" customFormat="1" x14ac:dyDescent="0.25">
      <c r="A105" s="101"/>
      <c r="B105" s="17" t="s">
        <v>127</v>
      </c>
      <c r="C105" s="16" t="s">
        <v>128</v>
      </c>
      <c r="D105" s="20">
        <f>1.09*(2.84+3.69)</f>
        <v>7.1177000000000001</v>
      </c>
      <c r="E105" s="20"/>
      <c r="F105" s="16"/>
      <c r="G105" s="20"/>
      <c r="H105" s="20">
        <f t="shared" si="26"/>
        <v>0</v>
      </c>
      <c r="I105" s="16"/>
      <c r="J105" s="20"/>
      <c r="K105" s="20">
        <f t="shared" si="28"/>
        <v>0</v>
      </c>
      <c r="L105" s="78"/>
      <c r="M105" s="20"/>
      <c r="N105" s="25"/>
    </row>
    <row r="106" spans="1:14" s="2" customFormat="1" x14ac:dyDescent="0.25">
      <c r="A106" s="101"/>
      <c r="B106" s="17" t="s">
        <v>129</v>
      </c>
      <c r="C106" s="16" t="s">
        <v>126</v>
      </c>
      <c r="D106" s="20"/>
      <c r="E106" s="20">
        <f>2*(3.73*2.72)</f>
        <v>20.2912</v>
      </c>
      <c r="F106" s="16"/>
      <c r="G106" s="20"/>
      <c r="H106" s="20">
        <f t="shared" si="26"/>
        <v>0</v>
      </c>
      <c r="I106" s="16"/>
      <c r="J106" s="20"/>
      <c r="K106" s="20">
        <f t="shared" si="28"/>
        <v>0</v>
      </c>
      <c r="L106" s="78"/>
      <c r="M106" s="20"/>
      <c r="N106" s="25"/>
    </row>
    <row r="107" spans="1:14" s="2" customFormat="1" x14ac:dyDescent="0.25">
      <c r="A107" s="101"/>
      <c r="B107" s="17" t="s">
        <v>130</v>
      </c>
      <c r="C107" s="16" t="s">
        <v>126</v>
      </c>
      <c r="D107" s="20"/>
      <c r="E107" s="20">
        <f>1.83*0.72</f>
        <v>1.3176000000000001</v>
      </c>
      <c r="F107" s="16"/>
      <c r="G107" s="20"/>
      <c r="H107" s="20">
        <f>3.11*(1.44+1.77+1.77+1.77+0.89+0.89)</f>
        <v>26.528299999999998</v>
      </c>
      <c r="I107" s="16"/>
      <c r="J107" s="20"/>
      <c r="K107" s="20">
        <f t="shared" si="28"/>
        <v>0</v>
      </c>
      <c r="L107" s="78"/>
      <c r="M107" s="20"/>
      <c r="N107" s="25"/>
    </row>
    <row r="108" spans="1:14" s="2" customFormat="1" x14ac:dyDescent="0.25">
      <c r="A108" s="101"/>
      <c r="B108" s="17" t="s">
        <v>131</v>
      </c>
      <c r="C108" s="16" t="s">
        <v>79</v>
      </c>
      <c r="D108" s="20">
        <f>0.65*(3.17+4.63)</f>
        <v>5.07</v>
      </c>
      <c r="E108" s="20">
        <f>1.83*2.92</f>
        <v>5.3436000000000003</v>
      </c>
      <c r="F108" s="16"/>
      <c r="G108" s="20"/>
      <c r="H108" s="20">
        <f t="shared" si="26"/>
        <v>0</v>
      </c>
      <c r="I108" s="16"/>
      <c r="J108" s="20"/>
      <c r="K108" s="20">
        <f t="shared" si="28"/>
        <v>0</v>
      </c>
      <c r="L108" s="78"/>
      <c r="M108" s="20"/>
      <c r="N108" s="25"/>
    </row>
    <row r="109" spans="1:14" s="2" customFormat="1" x14ac:dyDescent="0.25">
      <c r="A109" s="101"/>
      <c r="B109" s="17" t="s">
        <v>135</v>
      </c>
      <c r="C109" s="16" t="s">
        <v>136</v>
      </c>
      <c r="D109" s="20">
        <f>0.64*1.46</f>
        <v>0.93440000000000001</v>
      </c>
      <c r="E109" s="20"/>
      <c r="F109" s="16"/>
      <c r="G109" s="20"/>
      <c r="H109" s="20">
        <f t="shared" si="26"/>
        <v>0</v>
      </c>
      <c r="I109" s="16"/>
      <c r="J109" s="20"/>
      <c r="K109" s="20">
        <f t="shared" si="28"/>
        <v>0</v>
      </c>
      <c r="L109" s="78"/>
      <c r="M109" s="20"/>
      <c r="N109" s="25"/>
    </row>
    <row r="110" spans="1:14" s="2" customFormat="1" x14ac:dyDescent="0.25">
      <c r="A110" s="101"/>
      <c r="B110" s="99" t="s">
        <v>132</v>
      </c>
      <c r="C110" s="98" t="s">
        <v>133</v>
      </c>
      <c r="D110" s="97"/>
      <c r="E110" s="97">
        <f>1.83*0.48</f>
        <v>0.87839999999999996</v>
      </c>
      <c r="F110" s="16"/>
      <c r="G110" s="20"/>
      <c r="H110" s="20">
        <f t="shared" si="26"/>
        <v>0</v>
      </c>
      <c r="I110" s="16">
        <v>2</v>
      </c>
      <c r="J110" s="20">
        <f t="shared" ref="J110" si="34">0.77*(1.46+0.7)</f>
        <v>1.6632000000000002</v>
      </c>
      <c r="K110" s="20">
        <f t="shared" si="28"/>
        <v>3.3264000000000005</v>
      </c>
      <c r="L110" s="78"/>
      <c r="M110" s="20"/>
      <c r="N110" s="25"/>
    </row>
    <row r="111" spans="1:14" s="2" customFormat="1" x14ac:dyDescent="0.25">
      <c r="A111" s="101"/>
      <c r="B111" s="99"/>
      <c r="C111" s="98"/>
      <c r="D111" s="97"/>
      <c r="E111" s="97"/>
      <c r="F111" s="16"/>
      <c r="G111" s="20"/>
      <c r="H111" s="20">
        <f t="shared" si="26"/>
        <v>0</v>
      </c>
      <c r="I111" s="16">
        <v>2</v>
      </c>
      <c r="J111" s="20">
        <f t="shared" ref="J111" si="35">0.77*2.25</f>
        <v>1.7324999999999999</v>
      </c>
      <c r="K111" s="20">
        <f t="shared" si="28"/>
        <v>3.4649999999999999</v>
      </c>
      <c r="L111" s="78"/>
      <c r="M111" s="20"/>
      <c r="N111" s="25"/>
    </row>
    <row r="112" spans="1:14" s="2" customFormat="1" x14ac:dyDescent="0.25">
      <c r="A112" s="101"/>
      <c r="B112" s="17" t="s">
        <v>134</v>
      </c>
      <c r="C112" s="16" t="s">
        <v>45</v>
      </c>
      <c r="D112" s="20"/>
      <c r="E112" s="20"/>
      <c r="F112" s="16"/>
      <c r="G112" s="20"/>
      <c r="H112" s="20">
        <f>3.11*2.39</f>
        <v>7.4329000000000001</v>
      </c>
      <c r="I112" s="16"/>
      <c r="J112" s="20"/>
      <c r="K112" s="20">
        <f t="shared" si="28"/>
        <v>0</v>
      </c>
      <c r="L112" s="78"/>
      <c r="M112" s="20"/>
      <c r="N112" s="25"/>
    </row>
    <row r="113" spans="1:14" s="2" customFormat="1" x14ac:dyDescent="0.25">
      <c r="A113" s="101"/>
      <c r="B113" s="17" t="s">
        <v>137</v>
      </c>
      <c r="C113" s="16" t="s">
        <v>138</v>
      </c>
      <c r="D113" s="20"/>
      <c r="E113" s="139">
        <f>2.08*1.69</f>
        <v>3.5152000000000001</v>
      </c>
      <c r="F113" s="16"/>
      <c r="G113" s="20"/>
      <c r="H113" s="20"/>
      <c r="I113" s="16"/>
      <c r="J113" s="20"/>
      <c r="K113" s="20">
        <f t="shared" si="28"/>
        <v>0</v>
      </c>
      <c r="L113" s="78"/>
      <c r="M113" s="20"/>
      <c r="N113" s="25"/>
    </row>
    <row r="114" spans="1:14" s="2" customFormat="1" x14ac:dyDescent="0.25">
      <c r="A114" s="101"/>
      <c r="B114" s="17" t="s">
        <v>139</v>
      </c>
      <c r="C114" s="16"/>
      <c r="D114" s="20"/>
      <c r="E114" s="20"/>
      <c r="F114" s="16"/>
      <c r="G114" s="20"/>
      <c r="H114" s="20">
        <f>3.11*((4*0.82)+1.69+1.72)</f>
        <v>20.805899999999998</v>
      </c>
      <c r="I114" s="16"/>
      <c r="J114" s="20"/>
      <c r="K114" s="20">
        <f t="shared" si="28"/>
        <v>0</v>
      </c>
      <c r="L114" s="78"/>
      <c r="M114" s="20"/>
      <c r="N114" s="25"/>
    </row>
    <row r="115" spans="1:14" s="2" customFormat="1" x14ac:dyDescent="0.25">
      <c r="A115" s="101"/>
      <c r="B115" s="17" t="s">
        <v>140</v>
      </c>
      <c r="C115" s="16" t="s">
        <v>141</v>
      </c>
      <c r="D115" s="20">
        <f>1.09*(3.72*2)</f>
        <v>8.1096000000000004</v>
      </c>
      <c r="E115" s="20"/>
      <c r="F115" s="16"/>
      <c r="G115" s="20"/>
      <c r="H115" s="20">
        <f>3.11*(1.29*2)</f>
        <v>8.0237999999999996</v>
      </c>
      <c r="I115" s="16"/>
      <c r="J115" s="20"/>
      <c r="K115" s="20">
        <f t="shared" si="28"/>
        <v>0</v>
      </c>
      <c r="L115" s="78"/>
      <c r="M115" s="20"/>
      <c r="N115" s="25"/>
    </row>
    <row r="116" spans="1:14" s="2" customFormat="1" x14ac:dyDescent="0.25">
      <c r="A116" s="101"/>
      <c r="B116" s="17" t="s">
        <v>142</v>
      </c>
      <c r="C116" s="16"/>
      <c r="D116" s="20"/>
      <c r="E116" s="20"/>
      <c r="F116" s="16"/>
      <c r="G116" s="20"/>
      <c r="H116" s="20">
        <f>3.11*((0.8*4)+1.03+1.05)</f>
        <v>16.4208</v>
      </c>
      <c r="I116" s="16"/>
      <c r="J116" s="20"/>
      <c r="K116" s="20">
        <f t="shared" si="28"/>
        <v>0</v>
      </c>
      <c r="L116" s="78"/>
      <c r="M116" s="20"/>
      <c r="N116" s="25"/>
    </row>
    <row r="117" spans="1:14" s="2" customFormat="1" x14ac:dyDescent="0.25">
      <c r="A117" s="101"/>
      <c r="B117" s="17" t="s">
        <v>143</v>
      </c>
      <c r="C117" s="16" t="s">
        <v>148</v>
      </c>
      <c r="D117" s="20"/>
      <c r="E117" s="20">
        <f>2.1*2.1</f>
        <v>4.41</v>
      </c>
      <c r="F117" s="16"/>
      <c r="G117" s="20"/>
      <c r="H117" s="20"/>
      <c r="I117" s="16"/>
      <c r="J117" s="20"/>
      <c r="K117" s="20">
        <f t="shared" si="28"/>
        <v>0</v>
      </c>
      <c r="L117" s="78"/>
      <c r="M117" s="20"/>
      <c r="N117" s="25"/>
    </row>
    <row r="118" spans="1:14" s="2" customFormat="1" x14ac:dyDescent="0.25">
      <c r="A118" s="101"/>
      <c r="B118" s="17" t="s">
        <v>146</v>
      </c>
      <c r="C118" s="16" t="s">
        <v>126</v>
      </c>
      <c r="D118" s="20"/>
      <c r="E118" s="20"/>
      <c r="F118" s="16">
        <v>1</v>
      </c>
      <c r="G118" s="20">
        <f>0.71*1.42</f>
        <v>1.0082</v>
      </c>
      <c r="H118" s="20">
        <f>F118*G118</f>
        <v>1.0082</v>
      </c>
      <c r="I118" s="16"/>
      <c r="J118" s="20"/>
      <c r="K118" s="20">
        <f t="shared" si="28"/>
        <v>0</v>
      </c>
      <c r="L118" s="78"/>
      <c r="M118" s="20"/>
      <c r="N118" s="25"/>
    </row>
    <row r="119" spans="1:14" s="2" customFormat="1" x14ac:dyDescent="0.25">
      <c r="A119" s="101"/>
      <c r="B119" s="17" t="s">
        <v>144</v>
      </c>
      <c r="C119" s="16" t="s">
        <v>149</v>
      </c>
      <c r="D119" s="20"/>
      <c r="E119" s="20">
        <f>2.1*1.01</f>
        <v>2.121</v>
      </c>
      <c r="F119" s="16">
        <v>2</v>
      </c>
      <c r="G119" s="20">
        <f t="shared" ref="G119:G131" si="36">0.71*1.42</f>
        <v>1.0082</v>
      </c>
      <c r="H119" s="20">
        <f t="shared" ref="H119:H144" si="37">F119*G119</f>
        <v>2.0164</v>
      </c>
      <c r="I119" s="16"/>
      <c r="J119" s="20"/>
      <c r="K119" s="20">
        <f t="shared" si="28"/>
        <v>0</v>
      </c>
      <c r="L119" s="78"/>
      <c r="M119" s="20"/>
      <c r="N119" s="25"/>
    </row>
    <row r="120" spans="1:14" s="2" customFormat="1" x14ac:dyDescent="0.25">
      <c r="A120" s="101"/>
      <c r="B120" s="17" t="s">
        <v>145</v>
      </c>
      <c r="C120" s="16" t="s">
        <v>147</v>
      </c>
      <c r="D120" s="20"/>
      <c r="E120" s="20">
        <f>2.1*(1.1+2.4)</f>
        <v>7.3500000000000005</v>
      </c>
      <c r="F120" s="16"/>
      <c r="G120" s="20">
        <f t="shared" si="36"/>
        <v>1.0082</v>
      </c>
      <c r="H120" s="20">
        <f t="shared" si="37"/>
        <v>0</v>
      </c>
      <c r="I120" s="16"/>
      <c r="J120" s="20"/>
      <c r="K120" s="20">
        <f t="shared" si="28"/>
        <v>0</v>
      </c>
      <c r="L120" s="78"/>
      <c r="M120" s="20"/>
      <c r="N120" s="25"/>
    </row>
    <row r="121" spans="1:14" s="2" customFormat="1" x14ac:dyDescent="0.25">
      <c r="A121" s="101"/>
      <c r="B121" s="17" t="s">
        <v>150</v>
      </c>
      <c r="C121" s="16" t="s">
        <v>151</v>
      </c>
      <c r="D121" s="20"/>
      <c r="E121" s="20">
        <f>1.83*(1.58+1.91)</f>
        <v>6.3867000000000003</v>
      </c>
      <c r="F121" s="16">
        <v>4</v>
      </c>
      <c r="G121" s="20">
        <f t="shared" si="36"/>
        <v>1.0082</v>
      </c>
      <c r="H121" s="20">
        <f t="shared" si="37"/>
        <v>4.0327999999999999</v>
      </c>
      <c r="I121" s="16"/>
      <c r="J121" s="20"/>
      <c r="K121" s="20">
        <f t="shared" si="28"/>
        <v>0</v>
      </c>
      <c r="L121" s="78"/>
      <c r="M121" s="20"/>
      <c r="N121" s="25"/>
    </row>
    <row r="122" spans="1:14" s="2" customFormat="1" x14ac:dyDescent="0.25">
      <c r="A122" s="101"/>
      <c r="B122" s="17" t="s">
        <v>160</v>
      </c>
      <c r="C122" s="16" t="s">
        <v>152</v>
      </c>
      <c r="D122" s="20"/>
      <c r="E122" s="20">
        <f>1.83*1</f>
        <v>1.83</v>
      </c>
      <c r="F122" s="16">
        <v>1</v>
      </c>
      <c r="G122" s="20">
        <f t="shared" si="36"/>
        <v>1.0082</v>
      </c>
      <c r="H122" s="20">
        <f t="shared" si="37"/>
        <v>1.0082</v>
      </c>
      <c r="I122" s="16"/>
      <c r="J122" s="20"/>
      <c r="K122" s="20">
        <f t="shared" si="28"/>
        <v>0</v>
      </c>
      <c r="L122" s="78"/>
      <c r="M122" s="20"/>
      <c r="N122" s="25"/>
    </row>
    <row r="123" spans="1:14" s="2" customFormat="1" x14ac:dyDescent="0.25">
      <c r="A123" s="101"/>
      <c r="B123" s="17" t="s">
        <v>161</v>
      </c>
      <c r="C123" s="16" t="s">
        <v>153</v>
      </c>
      <c r="D123" s="20"/>
      <c r="E123" s="20">
        <f>1.83*1</f>
        <v>1.83</v>
      </c>
      <c r="F123" s="16">
        <v>2</v>
      </c>
      <c r="G123" s="20">
        <f t="shared" si="36"/>
        <v>1.0082</v>
      </c>
      <c r="H123" s="20">
        <f t="shared" si="37"/>
        <v>2.0164</v>
      </c>
      <c r="I123" s="16"/>
      <c r="J123" s="20"/>
      <c r="K123" s="20">
        <f t="shared" si="28"/>
        <v>0</v>
      </c>
      <c r="L123" s="78"/>
      <c r="M123" s="20"/>
      <c r="N123" s="25"/>
    </row>
    <row r="124" spans="1:14" s="2" customFormat="1" x14ac:dyDescent="0.25">
      <c r="A124" s="101"/>
      <c r="B124" s="17" t="s">
        <v>162</v>
      </c>
      <c r="C124" s="16" t="s">
        <v>154</v>
      </c>
      <c r="D124" s="20"/>
      <c r="E124" s="20"/>
      <c r="F124" s="16">
        <v>1</v>
      </c>
      <c r="G124" s="20">
        <f t="shared" si="36"/>
        <v>1.0082</v>
      </c>
      <c r="H124" s="20">
        <f t="shared" si="37"/>
        <v>1.0082</v>
      </c>
      <c r="I124" s="16"/>
      <c r="J124" s="20"/>
      <c r="K124" s="20">
        <f t="shared" si="28"/>
        <v>0</v>
      </c>
      <c r="L124" s="78">
        <v>1</v>
      </c>
      <c r="M124" s="139">
        <f>0.68*1.78</f>
        <v>1.2104000000000001</v>
      </c>
      <c r="N124" s="25"/>
    </row>
    <row r="125" spans="1:14" s="2" customFormat="1" x14ac:dyDescent="0.25">
      <c r="A125" s="101"/>
      <c r="B125" s="17" t="s">
        <v>162</v>
      </c>
      <c r="C125" s="16" t="s">
        <v>155</v>
      </c>
      <c r="D125" s="20"/>
      <c r="E125" s="20"/>
      <c r="F125" s="16">
        <v>1</v>
      </c>
      <c r="G125" s="20">
        <f t="shared" si="36"/>
        <v>1.0082</v>
      </c>
      <c r="H125" s="20">
        <f t="shared" si="37"/>
        <v>1.0082</v>
      </c>
      <c r="I125" s="16"/>
      <c r="J125" s="20"/>
      <c r="K125" s="20">
        <f t="shared" si="28"/>
        <v>0</v>
      </c>
      <c r="L125" s="78">
        <v>1</v>
      </c>
      <c r="M125" s="139">
        <f t="shared" ref="M125:M130" si="38">0.68*1.78</f>
        <v>1.2104000000000001</v>
      </c>
      <c r="N125" s="25"/>
    </row>
    <row r="126" spans="1:14" s="2" customFormat="1" x14ac:dyDescent="0.25">
      <c r="A126" s="101"/>
      <c r="B126" s="17" t="s">
        <v>162</v>
      </c>
      <c r="C126" s="16" t="s">
        <v>156</v>
      </c>
      <c r="D126" s="20"/>
      <c r="E126" s="20"/>
      <c r="F126" s="16">
        <v>1</v>
      </c>
      <c r="G126" s="20">
        <f t="shared" si="36"/>
        <v>1.0082</v>
      </c>
      <c r="H126" s="20">
        <f t="shared" si="37"/>
        <v>1.0082</v>
      </c>
      <c r="I126" s="16"/>
      <c r="J126" s="20"/>
      <c r="K126" s="20">
        <f t="shared" si="28"/>
        <v>0</v>
      </c>
      <c r="L126" s="78">
        <v>1</v>
      </c>
      <c r="M126" s="139">
        <f t="shared" si="38"/>
        <v>1.2104000000000001</v>
      </c>
      <c r="N126" s="25"/>
    </row>
    <row r="127" spans="1:14" s="2" customFormat="1" x14ac:dyDescent="0.25">
      <c r="A127" s="101"/>
      <c r="B127" s="17" t="s">
        <v>162</v>
      </c>
      <c r="C127" s="16" t="s">
        <v>157</v>
      </c>
      <c r="D127" s="20"/>
      <c r="E127" s="20"/>
      <c r="F127" s="16">
        <v>1</v>
      </c>
      <c r="G127" s="20">
        <f t="shared" si="36"/>
        <v>1.0082</v>
      </c>
      <c r="H127" s="20">
        <f t="shared" si="37"/>
        <v>1.0082</v>
      </c>
      <c r="I127" s="16"/>
      <c r="J127" s="20"/>
      <c r="K127" s="20">
        <f t="shared" si="28"/>
        <v>0</v>
      </c>
      <c r="L127" s="78">
        <v>1</v>
      </c>
      <c r="M127" s="139">
        <f t="shared" si="38"/>
        <v>1.2104000000000001</v>
      </c>
      <c r="N127" s="25"/>
    </row>
    <row r="128" spans="1:14" s="2" customFormat="1" x14ac:dyDescent="0.25">
      <c r="A128" s="101"/>
      <c r="B128" s="17" t="s">
        <v>162</v>
      </c>
      <c r="C128" s="16" t="s">
        <v>158</v>
      </c>
      <c r="D128" s="20"/>
      <c r="E128" s="20"/>
      <c r="F128" s="16">
        <v>1</v>
      </c>
      <c r="G128" s="20">
        <f t="shared" si="36"/>
        <v>1.0082</v>
      </c>
      <c r="H128" s="20">
        <f t="shared" si="37"/>
        <v>1.0082</v>
      </c>
      <c r="I128" s="16"/>
      <c r="J128" s="20"/>
      <c r="K128" s="20">
        <f t="shared" si="28"/>
        <v>0</v>
      </c>
      <c r="L128" s="78">
        <v>1</v>
      </c>
      <c r="M128" s="139">
        <f t="shared" si="38"/>
        <v>1.2104000000000001</v>
      </c>
      <c r="N128" s="25"/>
    </row>
    <row r="129" spans="1:14" s="2" customFormat="1" x14ac:dyDescent="0.25">
      <c r="A129" s="101"/>
      <c r="B129" s="17" t="s">
        <v>175</v>
      </c>
      <c r="C129" s="16" t="s">
        <v>177</v>
      </c>
      <c r="D129" s="20"/>
      <c r="E129" s="20"/>
      <c r="F129" s="16"/>
      <c r="G129" s="20"/>
      <c r="H129" s="20"/>
      <c r="I129" s="16"/>
      <c r="J129" s="20"/>
      <c r="K129" s="20"/>
      <c r="L129" s="78">
        <v>1</v>
      </c>
      <c r="M129" s="139">
        <f t="shared" si="38"/>
        <v>1.2104000000000001</v>
      </c>
      <c r="N129" s="25"/>
    </row>
    <row r="130" spans="1:14" s="2" customFormat="1" x14ac:dyDescent="0.25">
      <c r="A130" s="101"/>
      <c r="B130" s="17" t="s">
        <v>176</v>
      </c>
      <c r="C130" s="16" t="s">
        <v>178</v>
      </c>
      <c r="D130" s="20"/>
      <c r="E130" s="20"/>
      <c r="F130" s="16"/>
      <c r="G130" s="20"/>
      <c r="H130" s="20"/>
      <c r="I130" s="16"/>
      <c r="J130" s="20"/>
      <c r="K130" s="20"/>
      <c r="L130" s="78">
        <v>1</v>
      </c>
      <c r="M130" s="139">
        <f t="shared" si="38"/>
        <v>1.2104000000000001</v>
      </c>
      <c r="N130" s="25"/>
    </row>
    <row r="131" spans="1:14" s="2" customFormat="1" x14ac:dyDescent="0.25">
      <c r="A131" s="101"/>
      <c r="B131" s="17" t="s">
        <v>163</v>
      </c>
      <c r="C131" s="16" t="s">
        <v>159</v>
      </c>
      <c r="D131" s="20"/>
      <c r="E131" s="20">
        <f>1.83*1.31</f>
        <v>2.3973</v>
      </c>
      <c r="F131" s="16">
        <v>2</v>
      </c>
      <c r="G131" s="20">
        <f t="shared" si="36"/>
        <v>1.0082</v>
      </c>
      <c r="H131" s="20">
        <f t="shared" si="37"/>
        <v>2.0164</v>
      </c>
      <c r="I131" s="16"/>
      <c r="J131" s="20"/>
      <c r="K131" s="20">
        <f t="shared" si="28"/>
        <v>0</v>
      </c>
      <c r="L131" s="78"/>
      <c r="M131" s="20"/>
      <c r="N131" s="25"/>
    </row>
    <row r="132" spans="1:14" s="2" customFormat="1" x14ac:dyDescent="0.25">
      <c r="A132" s="101"/>
      <c r="B132" s="17" t="s">
        <v>164</v>
      </c>
      <c r="C132" s="16" t="s">
        <v>165</v>
      </c>
      <c r="D132" s="20"/>
      <c r="E132" s="139">
        <f>2.1*1.2</f>
        <v>2.52</v>
      </c>
      <c r="F132" s="16"/>
      <c r="G132" s="20"/>
      <c r="H132" s="20">
        <f t="shared" si="37"/>
        <v>0</v>
      </c>
      <c r="I132" s="16"/>
      <c r="J132" s="20"/>
      <c r="K132" s="20">
        <f t="shared" si="28"/>
        <v>0</v>
      </c>
      <c r="L132" s="78"/>
      <c r="M132" s="20"/>
      <c r="N132" s="25"/>
    </row>
    <row r="133" spans="1:14" s="2" customFormat="1" x14ac:dyDescent="0.25">
      <c r="A133" s="101"/>
      <c r="B133" s="17" t="s">
        <v>164</v>
      </c>
      <c r="C133" s="16" t="s">
        <v>166</v>
      </c>
      <c r="D133" s="20"/>
      <c r="E133" s="20">
        <f>1.83*0.67</f>
        <v>1.2261000000000002</v>
      </c>
      <c r="F133" s="16"/>
      <c r="G133" s="20"/>
      <c r="H133" s="20">
        <f t="shared" si="37"/>
        <v>0</v>
      </c>
      <c r="I133" s="16">
        <v>1</v>
      </c>
      <c r="J133" s="20">
        <f t="shared" ref="J133:J144" si="39">0.77*(1.46+0.7)</f>
        <v>1.6632000000000002</v>
      </c>
      <c r="K133" s="20">
        <f t="shared" si="28"/>
        <v>1.6632000000000002</v>
      </c>
      <c r="L133" s="78"/>
      <c r="M133" s="20"/>
      <c r="N133" s="25"/>
    </row>
    <row r="134" spans="1:14" s="2" customFormat="1" x14ac:dyDescent="0.25">
      <c r="A134" s="101"/>
      <c r="B134" s="99" t="s">
        <v>173</v>
      </c>
      <c r="C134" s="98" t="s">
        <v>167</v>
      </c>
      <c r="D134" s="97"/>
      <c r="E134" s="97">
        <f>1.83*0.69</f>
        <v>1.2626999999999999</v>
      </c>
      <c r="F134" s="16"/>
      <c r="G134" s="20"/>
      <c r="H134" s="20">
        <f t="shared" si="37"/>
        <v>0</v>
      </c>
      <c r="I134" s="16">
        <v>1</v>
      </c>
      <c r="J134" s="20">
        <f t="shared" si="39"/>
        <v>1.6632000000000002</v>
      </c>
      <c r="K134" s="20">
        <f t="shared" si="28"/>
        <v>1.6632000000000002</v>
      </c>
      <c r="L134" s="78"/>
      <c r="M134" s="20"/>
      <c r="N134" s="25"/>
    </row>
    <row r="135" spans="1:14" s="2" customFormat="1" x14ac:dyDescent="0.25">
      <c r="A135" s="101"/>
      <c r="B135" s="99"/>
      <c r="C135" s="98"/>
      <c r="D135" s="97"/>
      <c r="E135" s="97"/>
      <c r="F135" s="16"/>
      <c r="G135" s="20"/>
      <c r="H135" s="20"/>
      <c r="I135" s="16">
        <v>1</v>
      </c>
      <c r="J135" s="20">
        <f t="shared" ref="J135:J145" si="40">0.77*2.25</f>
        <v>1.7324999999999999</v>
      </c>
      <c r="K135" s="20">
        <f t="shared" si="28"/>
        <v>1.7324999999999999</v>
      </c>
      <c r="L135" s="78"/>
      <c r="M135" s="20"/>
      <c r="N135" s="25"/>
    </row>
    <row r="136" spans="1:14" s="2" customFormat="1" x14ac:dyDescent="0.25">
      <c r="A136" s="101"/>
      <c r="B136" s="99" t="s">
        <v>173</v>
      </c>
      <c r="C136" s="98" t="s">
        <v>168</v>
      </c>
      <c r="D136" s="97"/>
      <c r="E136" s="97">
        <f>1.83*0.72</f>
        <v>1.3176000000000001</v>
      </c>
      <c r="F136" s="16"/>
      <c r="G136" s="20"/>
      <c r="H136" s="20">
        <f t="shared" si="37"/>
        <v>0</v>
      </c>
      <c r="I136" s="16">
        <v>1</v>
      </c>
      <c r="J136" s="20">
        <f t="shared" si="39"/>
        <v>1.6632000000000002</v>
      </c>
      <c r="K136" s="20">
        <f t="shared" si="28"/>
        <v>1.6632000000000002</v>
      </c>
      <c r="L136" s="78"/>
      <c r="M136" s="20"/>
      <c r="N136" s="25"/>
    </row>
    <row r="137" spans="1:14" s="2" customFormat="1" x14ac:dyDescent="0.25">
      <c r="A137" s="101"/>
      <c r="B137" s="99"/>
      <c r="C137" s="98"/>
      <c r="D137" s="97"/>
      <c r="E137" s="97"/>
      <c r="F137" s="16"/>
      <c r="G137" s="20"/>
      <c r="H137" s="20"/>
      <c r="I137" s="16">
        <v>1</v>
      </c>
      <c r="J137" s="20">
        <f t="shared" si="40"/>
        <v>1.7324999999999999</v>
      </c>
      <c r="K137" s="20">
        <f t="shared" si="28"/>
        <v>1.7324999999999999</v>
      </c>
      <c r="L137" s="78"/>
      <c r="M137" s="20"/>
      <c r="N137" s="25"/>
    </row>
    <row r="138" spans="1:14" s="2" customFormat="1" x14ac:dyDescent="0.25">
      <c r="A138" s="101"/>
      <c r="B138" s="99" t="s">
        <v>173</v>
      </c>
      <c r="C138" s="98" t="s">
        <v>169</v>
      </c>
      <c r="D138" s="97"/>
      <c r="E138" s="97">
        <f t="shared" ref="E138" si="41">1.83*0.72</f>
        <v>1.3176000000000001</v>
      </c>
      <c r="F138" s="16"/>
      <c r="G138" s="20"/>
      <c r="H138" s="20">
        <f t="shared" si="37"/>
        <v>0</v>
      </c>
      <c r="I138" s="16">
        <v>1</v>
      </c>
      <c r="J138" s="20">
        <f t="shared" si="39"/>
        <v>1.6632000000000002</v>
      </c>
      <c r="K138" s="20">
        <f t="shared" si="28"/>
        <v>1.6632000000000002</v>
      </c>
      <c r="L138" s="78"/>
      <c r="M138" s="20"/>
      <c r="N138" s="25"/>
    </row>
    <row r="139" spans="1:14" s="7" customFormat="1" x14ac:dyDescent="0.25">
      <c r="A139" s="101"/>
      <c r="B139" s="99"/>
      <c r="C139" s="98"/>
      <c r="D139" s="97"/>
      <c r="E139" s="97"/>
      <c r="F139" s="16"/>
      <c r="G139" s="20"/>
      <c r="H139" s="20"/>
      <c r="I139" s="16">
        <v>1</v>
      </c>
      <c r="J139" s="20">
        <f t="shared" si="40"/>
        <v>1.7324999999999999</v>
      </c>
      <c r="K139" s="20">
        <f t="shared" si="28"/>
        <v>1.7324999999999999</v>
      </c>
      <c r="L139" s="78"/>
      <c r="M139" s="20"/>
      <c r="N139" s="25"/>
    </row>
    <row r="140" spans="1:14" s="7" customFormat="1" x14ac:dyDescent="0.25">
      <c r="A140" s="101"/>
      <c r="B140" s="99" t="s">
        <v>173</v>
      </c>
      <c r="C140" s="98" t="s">
        <v>170</v>
      </c>
      <c r="D140" s="97"/>
      <c r="E140" s="97">
        <f t="shared" ref="E140" si="42">1.83*0.72</f>
        <v>1.3176000000000001</v>
      </c>
      <c r="F140" s="16"/>
      <c r="G140" s="20"/>
      <c r="H140" s="20">
        <f t="shared" si="37"/>
        <v>0</v>
      </c>
      <c r="I140" s="16">
        <v>1</v>
      </c>
      <c r="J140" s="20">
        <f t="shared" si="39"/>
        <v>1.6632000000000002</v>
      </c>
      <c r="K140" s="20">
        <f t="shared" si="28"/>
        <v>1.6632000000000002</v>
      </c>
      <c r="L140" s="78"/>
      <c r="M140" s="20"/>
      <c r="N140" s="25"/>
    </row>
    <row r="141" spans="1:14" s="7" customFormat="1" x14ac:dyDescent="0.25">
      <c r="A141" s="101"/>
      <c r="B141" s="99"/>
      <c r="C141" s="98"/>
      <c r="D141" s="97"/>
      <c r="E141" s="97"/>
      <c r="F141" s="16"/>
      <c r="G141" s="20"/>
      <c r="H141" s="20"/>
      <c r="I141" s="16">
        <v>1</v>
      </c>
      <c r="J141" s="20">
        <f t="shared" si="40"/>
        <v>1.7324999999999999</v>
      </c>
      <c r="K141" s="20">
        <f t="shared" si="28"/>
        <v>1.7324999999999999</v>
      </c>
      <c r="L141" s="78"/>
      <c r="M141" s="20"/>
      <c r="N141" s="25"/>
    </row>
    <row r="142" spans="1:14" s="7" customFormat="1" x14ac:dyDescent="0.25">
      <c r="A142" s="101"/>
      <c r="B142" s="99" t="s">
        <v>173</v>
      </c>
      <c r="C142" s="98" t="s">
        <v>171</v>
      </c>
      <c r="D142" s="97"/>
      <c r="E142" s="97">
        <f t="shared" ref="E142" si="43">1.83*0.72</f>
        <v>1.3176000000000001</v>
      </c>
      <c r="F142" s="16"/>
      <c r="G142" s="20"/>
      <c r="H142" s="20">
        <f t="shared" si="37"/>
        <v>0</v>
      </c>
      <c r="I142" s="16">
        <v>2</v>
      </c>
      <c r="J142" s="20">
        <f t="shared" si="39"/>
        <v>1.6632000000000002</v>
      </c>
      <c r="K142" s="20">
        <f t="shared" ref="K142:K145" si="44">I142*J142</f>
        <v>3.3264000000000005</v>
      </c>
      <c r="L142" s="78"/>
      <c r="M142" s="20"/>
      <c r="N142" s="25"/>
    </row>
    <row r="143" spans="1:14" s="7" customFormat="1" x14ac:dyDescent="0.25">
      <c r="A143" s="101"/>
      <c r="B143" s="99"/>
      <c r="C143" s="98"/>
      <c r="D143" s="97"/>
      <c r="E143" s="97"/>
      <c r="F143" s="16"/>
      <c r="G143" s="20"/>
      <c r="H143" s="20"/>
      <c r="I143" s="16">
        <v>1</v>
      </c>
      <c r="J143" s="20">
        <f t="shared" si="40"/>
        <v>1.7324999999999999</v>
      </c>
      <c r="K143" s="20">
        <f t="shared" si="44"/>
        <v>1.7324999999999999</v>
      </c>
      <c r="L143" s="78"/>
      <c r="M143" s="20"/>
      <c r="N143" s="25"/>
    </row>
    <row r="144" spans="1:14" x14ac:dyDescent="0.25">
      <c r="A144" s="102"/>
      <c r="B144" s="35" t="s">
        <v>174</v>
      </c>
      <c r="C144" s="36" t="s">
        <v>172</v>
      </c>
      <c r="D144" s="37"/>
      <c r="E144" s="37">
        <f>1.83*0.72</f>
        <v>1.3176000000000001</v>
      </c>
      <c r="F144" s="36"/>
      <c r="G144" s="37"/>
      <c r="H144" s="37">
        <f t="shared" si="37"/>
        <v>0</v>
      </c>
      <c r="I144" s="36">
        <v>1</v>
      </c>
      <c r="J144" s="37">
        <f t="shared" si="39"/>
        <v>1.6632000000000002</v>
      </c>
      <c r="K144" s="37">
        <f t="shared" si="44"/>
        <v>1.6632000000000002</v>
      </c>
      <c r="L144" s="80"/>
      <c r="M144" s="37"/>
      <c r="N144" s="39"/>
    </row>
    <row r="145" spans="1:14" ht="15.75" thickBot="1" x14ac:dyDescent="0.3">
      <c r="A145" s="54"/>
      <c r="B145" s="55" t="s">
        <v>180</v>
      </c>
      <c r="C145" s="56" t="s">
        <v>126</v>
      </c>
      <c r="D145" s="57"/>
      <c r="E145" s="57"/>
      <c r="F145" s="56"/>
      <c r="G145" s="57"/>
      <c r="H145" s="57"/>
      <c r="I145" s="56">
        <v>1</v>
      </c>
      <c r="J145" s="37">
        <f t="shared" si="40"/>
        <v>1.7324999999999999</v>
      </c>
      <c r="K145" s="37">
        <f t="shared" si="44"/>
        <v>1.7324999999999999</v>
      </c>
      <c r="L145" s="81"/>
      <c r="M145" s="57"/>
      <c r="N145" s="58"/>
    </row>
    <row r="146" spans="1:14" x14ac:dyDescent="0.25">
      <c r="A146" s="103" t="s">
        <v>70</v>
      </c>
      <c r="B146" s="104"/>
      <c r="C146" s="104"/>
      <c r="D146" s="70">
        <f t="shared" ref="D146:N146" si="45">SUM(D7:D145)</f>
        <v>67.491299999999995</v>
      </c>
      <c r="E146" s="70">
        <f t="shared" si="45"/>
        <v>189.26450000000003</v>
      </c>
      <c r="F146" s="75">
        <f t="shared" si="45"/>
        <v>53</v>
      </c>
      <c r="G146" s="70">
        <f t="shared" si="45"/>
        <v>38.655800000000013</v>
      </c>
      <c r="H146" s="70">
        <f t="shared" si="45"/>
        <v>152.59029999999993</v>
      </c>
      <c r="I146" s="75">
        <f t="shared" si="45"/>
        <v>142</v>
      </c>
      <c r="J146" s="70">
        <f t="shared" si="45"/>
        <v>139.08510000000007</v>
      </c>
      <c r="K146" s="70">
        <f t="shared" si="45"/>
        <v>240.60959999999997</v>
      </c>
      <c r="L146" s="75">
        <f>SUM(L7:L145)</f>
        <v>21</v>
      </c>
      <c r="M146" s="70">
        <f t="shared" si="45"/>
        <v>25.418400000000002</v>
      </c>
      <c r="N146" s="71">
        <f t="shared" si="45"/>
        <v>0</v>
      </c>
    </row>
    <row r="147" spans="1:14" ht="15.75" thickBot="1" x14ac:dyDescent="0.3">
      <c r="A147" s="105" t="s">
        <v>179</v>
      </c>
      <c r="B147" s="106"/>
      <c r="C147" s="106"/>
      <c r="D147" s="73">
        <f>D146*2</f>
        <v>134.98259999999999</v>
      </c>
      <c r="E147" s="73">
        <f t="shared" ref="E147:N147" si="46">E146*2</f>
        <v>378.52900000000005</v>
      </c>
      <c r="F147" s="73"/>
      <c r="G147" s="73">
        <f t="shared" si="46"/>
        <v>77.311600000000027</v>
      </c>
      <c r="H147" s="73">
        <f t="shared" si="46"/>
        <v>305.18059999999986</v>
      </c>
      <c r="I147" s="73"/>
      <c r="J147" s="73">
        <f t="shared" si="46"/>
        <v>278.17020000000014</v>
      </c>
      <c r="K147" s="73">
        <f t="shared" si="46"/>
        <v>481.21919999999994</v>
      </c>
      <c r="L147" s="82"/>
      <c r="M147" s="73">
        <f t="shared" si="46"/>
        <v>50.836800000000004</v>
      </c>
      <c r="N147" s="74">
        <f t="shared" si="46"/>
        <v>0</v>
      </c>
    </row>
    <row r="150" spans="1:14" x14ac:dyDescent="0.25">
      <c r="A150" s="5" t="s">
        <v>12</v>
      </c>
      <c r="B150" s="5">
        <v>52</v>
      </c>
    </row>
    <row r="151" spans="1:14" x14ac:dyDescent="0.25">
      <c r="A151" s="5" t="s">
        <v>13</v>
      </c>
      <c r="B151" s="5">
        <v>101</v>
      </c>
    </row>
    <row r="152" spans="1:14" x14ac:dyDescent="0.25">
      <c r="A152" s="5" t="s">
        <v>14</v>
      </c>
      <c r="B152" s="5">
        <v>72</v>
      </c>
    </row>
  </sheetData>
  <mergeCells count="177">
    <mergeCell ref="A1:N1"/>
    <mergeCell ref="A2:N2"/>
    <mergeCell ref="A146:C146"/>
    <mergeCell ref="A147:C147"/>
    <mergeCell ref="B140:B141"/>
    <mergeCell ref="C140:C141"/>
    <mergeCell ref="D140:D141"/>
    <mergeCell ref="E140:E141"/>
    <mergeCell ref="B142:B143"/>
    <mergeCell ref="C142:C143"/>
    <mergeCell ref="D142:D143"/>
    <mergeCell ref="E142:E143"/>
    <mergeCell ref="A7:A144"/>
    <mergeCell ref="B9:B10"/>
    <mergeCell ref="C9:C10"/>
    <mergeCell ref="B136:B137"/>
    <mergeCell ref="C136:C137"/>
    <mergeCell ref="D136:D137"/>
    <mergeCell ref="E136:E137"/>
    <mergeCell ref="B138:B139"/>
    <mergeCell ref="C138:C139"/>
    <mergeCell ref="D138:D139"/>
    <mergeCell ref="E138:E139"/>
    <mergeCell ref="B110:B111"/>
    <mergeCell ref="C110:C111"/>
    <mergeCell ref="D110:D111"/>
    <mergeCell ref="E110:E111"/>
    <mergeCell ref="B134:B135"/>
    <mergeCell ref="C134:C135"/>
    <mergeCell ref="D134:D135"/>
    <mergeCell ref="E134:E135"/>
    <mergeCell ref="B101:B102"/>
    <mergeCell ref="C101:C102"/>
    <mergeCell ref="D101:D102"/>
    <mergeCell ref="E101:E102"/>
    <mergeCell ref="M101:M102"/>
    <mergeCell ref="B103:B104"/>
    <mergeCell ref="C103:C104"/>
    <mergeCell ref="D103:D104"/>
    <mergeCell ref="E103:E104"/>
    <mergeCell ref="L101:L102"/>
    <mergeCell ref="M89:M90"/>
    <mergeCell ref="B91:B92"/>
    <mergeCell ref="C91:C92"/>
    <mergeCell ref="D91:D92"/>
    <mergeCell ref="E91:E92"/>
    <mergeCell ref="B93:B94"/>
    <mergeCell ref="C93:C94"/>
    <mergeCell ref="D93:D94"/>
    <mergeCell ref="E93:E94"/>
    <mergeCell ref="L89:L90"/>
    <mergeCell ref="B87:B88"/>
    <mergeCell ref="C87:C88"/>
    <mergeCell ref="D87:D88"/>
    <mergeCell ref="E87:E88"/>
    <mergeCell ref="B89:B90"/>
    <mergeCell ref="C89:C90"/>
    <mergeCell ref="D89:D90"/>
    <mergeCell ref="E89:E90"/>
    <mergeCell ref="B82:B83"/>
    <mergeCell ref="C82:C83"/>
    <mergeCell ref="E82:E83"/>
    <mergeCell ref="B85:B86"/>
    <mergeCell ref="C85:C86"/>
    <mergeCell ref="D85:D86"/>
    <mergeCell ref="E85:E86"/>
    <mergeCell ref="B78:B79"/>
    <mergeCell ref="C78:C79"/>
    <mergeCell ref="E78:E79"/>
    <mergeCell ref="B80:B81"/>
    <mergeCell ref="C80:C81"/>
    <mergeCell ref="E80:E81"/>
    <mergeCell ref="B74:B75"/>
    <mergeCell ref="C74:C75"/>
    <mergeCell ref="E74:E75"/>
    <mergeCell ref="B76:B77"/>
    <mergeCell ref="C76:C77"/>
    <mergeCell ref="E76:E77"/>
    <mergeCell ref="B68:B69"/>
    <mergeCell ref="C68:C69"/>
    <mergeCell ref="B70:B71"/>
    <mergeCell ref="C70:C71"/>
    <mergeCell ref="E70:E71"/>
    <mergeCell ref="B72:B73"/>
    <mergeCell ref="C72:C73"/>
    <mergeCell ref="E72:E73"/>
    <mergeCell ref="B47:B48"/>
    <mergeCell ref="C47:C48"/>
    <mergeCell ref="D47:D48"/>
    <mergeCell ref="E47:E48"/>
    <mergeCell ref="B40:B41"/>
    <mergeCell ref="C40:C41"/>
    <mergeCell ref="D40:D41"/>
    <mergeCell ref="E40:E41"/>
    <mergeCell ref="M40:M41"/>
    <mergeCell ref="M47:M48"/>
    <mergeCell ref="B49:B50"/>
    <mergeCell ref="C49:C50"/>
    <mergeCell ref="D49:D50"/>
    <mergeCell ref="E49:E50"/>
    <mergeCell ref="B43:B44"/>
    <mergeCell ref="C43:C44"/>
    <mergeCell ref="D43:D44"/>
    <mergeCell ref="E43:E44"/>
    <mergeCell ref="M43:M44"/>
    <mergeCell ref="B45:B46"/>
    <mergeCell ref="C45:C46"/>
    <mergeCell ref="D45:D46"/>
    <mergeCell ref="E45:E46"/>
    <mergeCell ref="M45:M46"/>
    <mergeCell ref="L45:L46"/>
    <mergeCell ref="L47:L48"/>
    <mergeCell ref="B36:B37"/>
    <mergeCell ref="C36:C37"/>
    <mergeCell ref="D36:D37"/>
    <mergeCell ref="E36:E37"/>
    <mergeCell ref="M36:M37"/>
    <mergeCell ref="B38:B39"/>
    <mergeCell ref="C38:C39"/>
    <mergeCell ref="D38:D39"/>
    <mergeCell ref="E38:E39"/>
    <mergeCell ref="M38:M39"/>
    <mergeCell ref="B32:B33"/>
    <mergeCell ref="C32:C33"/>
    <mergeCell ref="D32:D33"/>
    <mergeCell ref="E32:E33"/>
    <mergeCell ref="M32:M33"/>
    <mergeCell ref="B30:B31"/>
    <mergeCell ref="B34:B35"/>
    <mergeCell ref="C34:C35"/>
    <mergeCell ref="D34:D35"/>
    <mergeCell ref="E34:E35"/>
    <mergeCell ref="M34:M35"/>
    <mergeCell ref="C11:C12"/>
    <mergeCell ref="D11:D12"/>
    <mergeCell ref="B26:B27"/>
    <mergeCell ref="C26:C27"/>
    <mergeCell ref="D26:D27"/>
    <mergeCell ref="C30:C31"/>
    <mergeCell ref="D30:D31"/>
    <mergeCell ref="E30:E31"/>
    <mergeCell ref="M30:M31"/>
    <mergeCell ref="A5:A6"/>
    <mergeCell ref="B5:B6"/>
    <mergeCell ref="C5:C6"/>
    <mergeCell ref="F5:H5"/>
    <mergeCell ref="I5:K5"/>
    <mergeCell ref="B53:B54"/>
    <mergeCell ref="C53:C54"/>
    <mergeCell ref="E53:E54"/>
    <mergeCell ref="D53:D54"/>
    <mergeCell ref="E26:E27"/>
    <mergeCell ref="B28:B29"/>
    <mergeCell ref="C28:C29"/>
    <mergeCell ref="D28:D29"/>
    <mergeCell ref="E28:E29"/>
    <mergeCell ref="E11:E12"/>
    <mergeCell ref="B13:B14"/>
    <mergeCell ref="C13:C14"/>
    <mergeCell ref="D13:D14"/>
    <mergeCell ref="E13:E14"/>
    <mergeCell ref="B18:B19"/>
    <mergeCell ref="C18:C19"/>
    <mergeCell ref="D18:D19"/>
    <mergeCell ref="E18:E19"/>
    <mergeCell ref="B11:B12"/>
    <mergeCell ref="L5:M5"/>
    <mergeCell ref="L28:L29"/>
    <mergeCell ref="L30:L31"/>
    <mergeCell ref="L32:L33"/>
    <mergeCell ref="L34:L35"/>
    <mergeCell ref="L36:L37"/>
    <mergeCell ref="L38:L39"/>
    <mergeCell ref="L40:L41"/>
    <mergeCell ref="L43:L44"/>
    <mergeCell ref="M26:M27"/>
    <mergeCell ref="M28:M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workbookViewId="0">
      <pane ySplit="4" topLeftCell="A5" activePane="bottomLeft" state="frozen"/>
      <selection pane="bottomLeft" sqref="A1:N2"/>
    </sheetView>
  </sheetViews>
  <sheetFormatPr baseColWidth="10" defaultRowHeight="15" x14ac:dyDescent="0.25"/>
  <cols>
    <col min="1" max="1" width="10.85546875" style="5"/>
    <col min="2" max="2" width="30.140625" style="6" bestFit="1" customWidth="1"/>
    <col min="3" max="3" width="10.85546875" style="5"/>
    <col min="4" max="5" width="13.7109375" style="42" customWidth="1"/>
    <col min="6" max="6" width="5.7109375" style="5" customWidth="1"/>
    <col min="7" max="7" width="5.7109375" style="42" customWidth="1"/>
    <col min="8" max="8" width="7.28515625" style="42" customWidth="1"/>
    <col min="9" max="9" width="7.28515625" style="5" customWidth="1"/>
    <col min="10" max="10" width="7.28515625" style="42" customWidth="1"/>
    <col min="11" max="12" width="6.28515625" style="42" customWidth="1"/>
    <col min="13" max="13" width="10.140625" style="42" customWidth="1"/>
    <col min="14" max="14" width="13.7109375" style="5" customWidth="1"/>
  </cols>
  <sheetData>
    <row r="1" spans="1:14" ht="28.5" x14ac:dyDescent="0.25">
      <c r="A1" s="138" t="s">
        <v>314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4" ht="18.75" x14ac:dyDescent="0.25">
      <c r="A2" s="145" t="s">
        <v>318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x14ac:dyDescent="0.25">
      <c r="B3" s="9"/>
    </row>
    <row r="4" spans="1:14" s="1" customFormat="1" ht="15.75" thickBot="1" x14ac:dyDescent="0.3">
      <c r="A4" s="5"/>
      <c r="B4" s="6"/>
      <c r="C4" s="5"/>
      <c r="D4" s="42"/>
      <c r="E4" s="42"/>
      <c r="F4" s="5"/>
      <c r="G4" s="42"/>
      <c r="H4" s="42"/>
      <c r="I4" s="5"/>
      <c r="J4" s="42"/>
      <c r="K4" s="42"/>
      <c r="L4" s="42"/>
      <c r="M4" s="42"/>
      <c r="N4" s="5"/>
    </row>
    <row r="5" spans="1:14" ht="30" x14ac:dyDescent="0.25">
      <c r="A5" s="122" t="s">
        <v>0</v>
      </c>
      <c r="B5" s="124" t="s">
        <v>1</v>
      </c>
      <c r="C5" s="124" t="s">
        <v>2</v>
      </c>
      <c r="D5" s="48" t="s">
        <v>15</v>
      </c>
      <c r="E5" s="48" t="s">
        <v>16</v>
      </c>
      <c r="F5" s="124" t="s">
        <v>17</v>
      </c>
      <c r="G5" s="124"/>
      <c r="H5" s="124"/>
      <c r="I5" s="124" t="s">
        <v>18</v>
      </c>
      <c r="J5" s="124"/>
      <c r="K5" s="124"/>
      <c r="L5" s="113" t="s">
        <v>20</v>
      </c>
      <c r="M5" s="113"/>
      <c r="N5" s="23" t="s">
        <v>19</v>
      </c>
    </row>
    <row r="6" spans="1:14" ht="15.75" thickBot="1" x14ac:dyDescent="0.3">
      <c r="A6" s="123"/>
      <c r="B6" s="125"/>
      <c r="C6" s="125"/>
      <c r="D6" s="32" t="s">
        <v>22</v>
      </c>
      <c r="E6" s="32" t="s">
        <v>22</v>
      </c>
      <c r="F6" s="31" t="s">
        <v>21</v>
      </c>
      <c r="G6" s="32" t="s">
        <v>22</v>
      </c>
      <c r="H6" s="32" t="s">
        <v>23</v>
      </c>
      <c r="I6" s="31" t="s">
        <v>21</v>
      </c>
      <c r="J6" s="32" t="s">
        <v>22</v>
      </c>
      <c r="K6" s="32" t="s">
        <v>23</v>
      </c>
      <c r="L6" s="32" t="s">
        <v>21</v>
      </c>
      <c r="M6" s="32" t="s">
        <v>22</v>
      </c>
      <c r="N6" s="33" t="s">
        <v>22</v>
      </c>
    </row>
    <row r="7" spans="1:14" x14ac:dyDescent="0.25">
      <c r="A7" s="129" t="s">
        <v>182</v>
      </c>
      <c r="B7" s="117" t="s">
        <v>183</v>
      </c>
      <c r="C7" s="119">
        <v>101</v>
      </c>
      <c r="D7" s="121"/>
      <c r="E7" s="121">
        <f>1.83*4.1</f>
        <v>7.5029999999999992</v>
      </c>
      <c r="F7" s="51">
        <v>3</v>
      </c>
      <c r="G7" s="52">
        <f>0.7*1.4</f>
        <v>0.97999999999999987</v>
      </c>
      <c r="H7" s="52">
        <f>F7*G7</f>
        <v>2.9399999999999995</v>
      </c>
      <c r="I7" s="51"/>
      <c r="J7" s="52"/>
      <c r="K7" s="52"/>
      <c r="L7" s="52"/>
      <c r="M7" s="52"/>
      <c r="N7" s="53"/>
    </row>
    <row r="8" spans="1:14" x14ac:dyDescent="0.25">
      <c r="A8" s="101"/>
      <c r="B8" s="99"/>
      <c r="C8" s="98"/>
      <c r="D8" s="97"/>
      <c r="E8" s="97"/>
      <c r="F8" s="43">
        <v>2</v>
      </c>
      <c r="G8" s="45">
        <f>0.73*2.23</f>
        <v>1.6278999999999999</v>
      </c>
      <c r="H8" s="45">
        <f t="shared" ref="H8:H38" si="0">F8*G8</f>
        <v>3.2557999999999998</v>
      </c>
      <c r="I8" s="43"/>
      <c r="J8" s="45"/>
      <c r="K8" s="45"/>
      <c r="L8" s="45"/>
      <c r="M8" s="45"/>
      <c r="N8" s="25"/>
    </row>
    <row r="9" spans="1:14" x14ac:dyDescent="0.25">
      <c r="A9" s="101"/>
      <c r="B9" s="99"/>
      <c r="C9" s="98"/>
      <c r="D9" s="97"/>
      <c r="E9" s="97"/>
      <c r="F9" s="43">
        <v>1</v>
      </c>
      <c r="G9" s="45">
        <f>1.43*(0.75+0.78+0.75)</f>
        <v>3.2604000000000002</v>
      </c>
      <c r="H9" s="45">
        <f t="shared" si="0"/>
        <v>3.2604000000000002</v>
      </c>
      <c r="I9" s="43"/>
      <c r="J9" s="45"/>
      <c r="K9" s="45"/>
      <c r="L9" s="45"/>
      <c r="M9" s="45"/>
      <c r="N9" s="25"/>
    </row>
    <row r="10" spans="1:14" x14ac:dyDescent="0.25">
      <c r="A10" s="101"/>
      <c r="B10" s="99" t="s">
        <v>146</v>
      </c>
      <c r="C10" s="98">
        <v>102</v>
      </c>
      <c r="D10" s="97"/>
      <c r="E10" s="97">
        <f>1.83*1.95</f>
        <v>3.5685000000000002</v>
      </c>
      <c r="F10" s="43">
        <v>1</v>
      </c>
      <c r="G10" s="45">
        <f>0.73*2.23</f>
        <v>1.6278999999999999</v>
      </c>
      <c r="H10" s="45">
        <f t="shared" si="0"/>
        <v>1.6278999999999999</v>
      </c>
      <c r="I10" s="43"/>
      <c r="J10" s="45"/>
      <c r="K10" s="45"/>
      <c r="L10" s="45"/>
      <c r="M10" s="45"/>
      <c r="N10" s="25"/>
    </row>
    <row r="11" spans="1:14" x14ac:dyDescent="0.25">
      <c r="A11" s="101"/>
      <c r="B11" s="99"/>
      <c r="C11" s="98"/>
      <c r="D11" s="97"/>
      <c r="E11" s="97"/>
      <c r="F11" s="43">
        <v>2</v>
      </c>
      <c r="G11" s="45">
        <f>0.79*2.35</f>
        <v>1.8565000000000003</v>
      </c>
      <c r="H11" s="45">
        <f t="shared" si="0"/>
        <v>3.7130000000000005</v>
      </c>
      <c r="I11" s="43"/>
      <c r="J11" s="45"/>
      <c r="K11" s="45"/>
      <c r="L11" s="45"/>
      <c r="M11" s="45"/>
      <c r="N11" s="25"/>
    </row>
    <row r="12" spans="1:14" x14ac:dyDescent="0.25">
      <c r="A12" s="101"/>
      <c r="B12" s="44" t="s">
        <v>185</v>
      </c>
      <c r="C12" s="43">
        <v>103</v>
      </c>
      <c r="D12" s="45"/>
      <c r="E12" s="45">
        <f>1.83*1.03</f>
        <v>1.8849</v>
      </c>
      <c r="F12" s="43">
        <v>1</v>
      </c>
      <c r="G12" s="45">
        <f>0.73*2.23</f>
        <v>1.6278999999999999</v>
      </c>
      <c r="H12" s="45">
        <f t="shared" si="0"/>
        <v>1.6278999999999999</v>
      </c>
      <c r="I12" s="43"/>
      <c r="J12" s="45"/>
      <c r="K12" s="45"/>
      <c r="L12" s="45"/>
      <c r="M12" s="45"/>
      <c r="N12" s="25"/>
    </row>
    <row r="13" spans="1:14" x14ac:dyDescent="0.25">
      <c r="A13" s="101"/>
      <c r="B13" s="99" t="s">
        <v>184</v>
      </c>
      <c r="C13" s="98">
        <v>104</v>
      </c>
      <c r="D13" s="97">
        <f>1.57*(10+6)</f>
        <v>25.12</v>
      </c>
      <c r="E13" s="97"/>
      <c r="F13" s="43">
        <v>2</v>
      </c>
      <c r="G13" s="45">
        <f>0.73*2.23</f>
        <v>1.6278999999999999</v>
      </c>
      <c r="H13" s="45">
        <f t="shared" si="0"/>
        <v>3.2557999999999998</v>
      </c>
      <c r="I13" s="43"/>
      <c r="J13" s="45"/>
      <c r="K13" s="45"/>
      <c r="L13" s="45"/>
      <c r="M13" s="45"/>
      <c r="N13" s="25"/>
    </row>
    <row r="14" spans="1:14" x14ac:dyDescent="0.25">
      <c r="A14" s="101"/>
      <c r="B14" s="99"/>
      <c r="C14" s="98"/>
      <c r="D14" s="97"/>
      <c r="E14" s="97"/>
      <c r="F14" s="43">
        <v>8</v>
      </c>
      <c r="G14" s="45">
        <f>0.74*(0.7+1.43)</f>
        <v>1.5761999999999998</v>
      </c>
      <c r="H14" s="45">
        <f t="shared" si="0"/>
        <v>12.609599999999999</v>
      </c>
      <c r="I14" s="43"/>
      <c r="J14" s="45"/>
      <c r="K14" s="45"/>
      <c r="L14" s="45"/>
      <c r="M14" s="45"/>
      <c r="N14" s="25"/>
    </row>
    <row r="15" spans="1:14" x14ac:dyDescent="0.25">
      <c r="A15" s="101"/>
      <c r="B15" s="99" t="s">
        <v>186</v>
      </c>
      <c r="C15" s="98">
        <v>105</v>
      </c>
      <c r="D15" s="97"/>
      <c r="E15" s="97">
        <f>2.45*5.19</f>
        <v>12.715500000000002</v>
      </c>
      <c r="F15" s="43">
        <v>3</v>
      </c>
      <c r="G15" s="45">
        <f>0.73*2.23</f>
        <v>1.6278999999999999</v>
      </c>
      <c r="H15" s="45">
        <f t="shared" si="0"/>
        <v>4.8836999999999993</v>
      </c>
      <c r="I15" s="43"/>
      <c r="J15" s="45"/>
      <c r="K15" s="45"/>
      <c r="L15" s="45"/>
      <c r="M15" s="45"/>
      <c r="N15" s="25"/>
    </row>
    <row r="16" spans="1:14" x14ac:dyDescent="0.25">
      <c r="A16" s="101"/>
      <c r="B16" s="99"/>
      <c r="C16" s="98"/>
      <c r="D16" s="97"/>
      <c r="E16" s="97"/>
      <c r="F16" s="43">
        <v>2</v>
      </c>
      <c r="G16" s="45">
        <f>0.79*2.35</f>
        <v>1.8565000000000003</v>
      </c>
      <c r="H16" s="45">
        <f t="shared" si="0"/>
        <v>3.7130000000000005</v>
      </c>
      <c r="I16" s="43"/>
      <c r="J16" s="45"/>
      <c r="K16" s="45"/>
      <c r="L16" s="45"/>
      <c r="M16" s="45"/>
      <c r="N16" s="25"/>
    </row>
    <row r="17" spans="1:14" x14ac:dyDescent="0.25">
      <c r="A17" s="101"/>
      <c r="B17" s="44" t="s">
        <v>187</v>
      </c>
      <c r="C17" s="43">
        <v>106</v>
      </c>
      <c r="D17" s="45"/>
      <c r="E17" s="45">
        <f>1.83*2.62</f>
        <v>4.7946</v>
      </c>
      <c r="F17" s="43">
        <v>2</v>
      </c>
      <c r="G17" s="45">
        <f>0.74*(0.7+1.43)</f>
        <v>1.5761999999999998</v>
      </c>
      <c r="H17" s="45">
        <f t="shared" si="0"/>
        <v>3.1523999999999996</v>
      </c>
      <c r="I17" s="43"/>
      <c r="J17" s="45"/>
      <c r="K17" s="45"/>
      <c r="L17" s="45"/>
      <c r="M17" s="45"/>
      <c r="N17" s="25"/>
    </row>
    <row r="18" spans="1:14" x14ac:dyDescent="0.25">
      <c r="A18" s="101"/>
      <c r="B18" s="99" t="s">
        <v>188</v>
      </c>
      <c r="C18" s="98">
        <v>107</v>
      </c>
      <c r="D18" s="97"/>
      <c r="E18" s="97">
        <f>1.83*0.5</f>
        <v>0.91500000000000004</v>
      </c>
      <c r="F18" s="43">
        <v>1</v>
      </c>
      <c r="G18" s="45">
        <f>0.73*2.23</f>
        <v>1.6278999999999999</v>
      </c>
      <c r="H18" s="45">
        <f t="shared" si="0"/>
        <v>1.6278999999999999</v>
      </c>
      <c r="I18" s="43"/>
      <c r="J18" s="45"/>
      <c r="K18" s="45"/>
      <c r="L18" s="45"/>
      <c r="M18" s="45"/>
      <c r="N18" s="25"/>
    </row>
    <row r="19" spans="1:14" x14ac:dyDescent="0.25">
      <c r="A19" s="101"/>
      <c r="B19" s="99"/>
      <c r="C19" s="98"/>
      <c r="D19" s="97"/>
      <c r="E19" s="97"/>
      <c r="F19" s="43">
        <v>3</v>
      </c>
      <c r="G19" s="45">
        <f>0.74*(0.7+1.43)</f>
        <v>1.5761999999999998</v>
      </c>
      <c r="H19" s="45">
        <f t="shared" si="0"/>
        <v>4.7285999999999992</v>
      </c>
      <c r="I19" s="43"/>
      <c r="J19" s="45"/>
      <c r="K19" s="45"/>
      <c r="L19" s="45"/>
      <c r="M19" s="45"/>
      <c r="N19" s="25"/>
    </row>
    <row r="20" spans="1:14" x14ac:dyDescent="0.25">
      <c r="A20" s="101"/>
      <c r="B20" s="44" t="s">
        <v>184</v>
      </c>
      <c r="C20" s="43">
        <v>108</v>
      </c>
      <c r="D20" s="45"/>
      <c r="E20" s="45">
        <f>1.83*3.72</f>
        <v>6.8076000000000008</v>
      </c>
      <c r="F20" s="43">
        <v>2</v>
      </c>
      <c r="G20" s="45">
        <f>0.74*(0.7+1.43)</f>
        <v>1.5761999999999998</v>
      </c>
      <c r="H20" s="45">
        <f t="shared" si="0"/>
        <v>3.1523999999999996</v>
      </c>
      <c r="I20" s="43"/>
      <c r="J20" s="45"/>
      <c r="K20" s="45"/>
      <c r="L20" s="45"/>
      <c r="M20" s="45"/>
      <c r="N20" s="25"/>
    </row>
    <row r="21" spans="1:14" x14ac:dyDescent="0.25">
      <c r="A21" s="101"/>
      <c r="B21" s="44" t="s">
        <v>47</v>
      </c>
      <c r="C21" s="43">
        <v>109</v>
      </c>
      <c r="D21" s="45">
        <f>1.75*2.33</f>
        <v>4.0775000000000006</v>
      </c>
      <c r="E21" s="45">
        <f>1.83*2.64</f>
        <v>4.8312000000000008</v>
      </c>
      <c r="F21" s="43"/>
      <c r="G21" s="45"/>
      <c r="H21" s="45">
        <f t="shared" si="0"/>
        <v>0</v>
      </c>
      <c r="I21" s="43"/>
      <c r="J21" s="45"/>
      <c r="K21" s="45"/>
      <c r="L21" s="45"/>
      <c r="M21" s="45"/>
      <c r="N21" s="25"/>
    </row>
    <row r="22" spans="1:14" x14ac:dyDescent="0.25">
      <c r="A22" s="101"/>
      <c r="B22" s="99" t="s">
        <v>184</v>
      </c>
      <c r="C22" s="98">
        <v>111</v>
      </c>
      <c r="D22" s="97">
        <f>1.57*(3.39*2)</f>
        <v>10.644600000000001</v>
      </c>
      <c r="E22" s="97">
        <f>(1.83*0.5)</f>
        <v>0.91500000000000004</v>
      </c>
      <c r="F22" s="43">
        <v>7</v>
      </c>
      <c r="G22" s="45">
        <f>0.74*(0.93+0.91)</f>
        <v>1.3616000000000001</v>
      </c>
      <c r="H22" s="45">
        <f t="shared" si="0"/>
        <v>9.5312000000000019</v>
      </c>
      <c r="I22" s="43"/>
      <c r="J22" s="45"/>
      <c r="K22" s="45"/>
      <c r="L22" s="45"/>
      <c r="M22" s="45"/>
      <c r="N22" s="25"/>
    </row>
    <row r="23" spans="1:14" x14ac:dyDescent="0.25">
      <c r="A23" s="101"/>
      <c r="B23" s="99"/>
      <c r="C23" s="98"/>
      <c r="D23" s="97"/>
      <c r="E23" s="97"/>
      <c r="F23" s="43">
        <v>2</v>
      </c>
      <c r="G23" s="45">
        <f>2.35*0.79</f>
        <v>1.8565000000000003</v>
      </c>
      <c r="H23" s="45">
        <f t="shared" si="0"/>
        <v>3.7130000000000005</v>
      </c>
      <c r="I23" s="43"/>
      <c r="J23" s="45"/>
      <c r="K23" s="45"/>
      <c r="L23" s="45"/>
      <c r="M23" s="45"/>
      <c r="N23" s="25"/>
    </row>
    <row r="24" spans="1:14" x14ac:dyDescent="0.25">
      <c r="A24" s="101"/>
      <c r="B24" s="99"/>
      <c r="C24" s="98"/>
      <c r="D24" s="97"/>
      <c r="E24" s="97"/>
      <c r="F24" s="43">
        <v>11</v>
      </c>
      <c r="G24" s="45">
        <f>0.74*(0.7+1.43)</f>
        <v>1.5761999999999998</v>
      </c>
      <c r="H24" s="45">
        <f t="shared" si="0"/>
        <v>17.338199999999997</v>
      </c>
      <c r="I24" s="43"/>
      <c r="J24" s="45"/>
      <c r="K24" s="45"/>
      <c r="L24" s="45"/>
      <c r="M24" s="45"/>
      <c r="N24" s="25"/>
    </row>
    <row r="25" spans="1:14" x14ac:dyDescent="0.25">
      <c r="A25" s="101"/>
      <c r="B25" s="44" t="s">
        <v>189</v>
      </c>
      <c r="C25" s="43">
        <v>113</v>
      </c>
      <c r="D25" s="45"/>
      <c r="E25" s="45">
        <f>2.57*(3.46+2.79+1.02+0.98+2.77)</f>
        <v>28.321399999999997</v>
      </c>
      <c r="F25" s="43"/>
      <c r="G25" s="45"/>
      <c r="H25" s="45">
        <f t="shared" si="0"/>
        <v>0</v>
      </c>
      <c r="I25" s="43"/>
      <c r="J25" s="45"/>
      <c r="K25" s="45"/>
      <c r="L25" s="45"/>
      <c r="M25" s="45"/>
      <c r="N25" s="25"/>
    </row>
    <row r="26" spans="1:14" x14ac:dyDescent="0.25">
      <c r="A26" s="101"/>
      <c r="B26" s="44" t="s">
        <v>190</v>
      </c>
      <c r="C26" s="43">
        <v>115</v>
      </c>
      <c r="D26" s="45"/>
      <c r="E26" s="45">
        <f>1.83*0.5</f>
        <v>0.91500000000000004</v>
      </c>
      <c r="F26" s="43">
        <v>2</v>
      </c>
      <c r="G26" s="45">
        <f>0.74*(0.7+1.43)</f>
        <v>1.5761999999999998</v>
      </c>
      <c r="H26" s="45">
        <f t="shared" si="0"/>
        <v>3.1523999999999996</v>
      </c>
      <c r="I26" s="43"/>
      <c r="J26" s="45"/>
      <c r="K26" s="45"/>
      <c r="L26" s="45"/>
      <c r="M26" s="45"/>
      <c r="N26" s="25"/>
    </row>
    <row r="27" spans="1:14" x14ac:dyDescent="0.25">
      <c r="A27" s="101"/>
      <c r="B27" s="99" t="s">
        <v>191</v>
      </c>
      <c r="C27" s="98">
        <v>116</v>
      </c>
      <c r="D27" s="97"/>
      <c r="E27" s="97">
        <f>1.83*1.9</f>
        <v>3.4769999999999999</v>
      </c>
      <c r="F27" s="43">
        <v>2</v>
      </c>
      <c r="G27" s="45">
        <f>0.74*(0.7+1.43)</f>
        <v>1.5761999999999998</v>
      </c>
      <c r="H27" s="45">
        <f t="shared" si="0"/>
        <v>3.1523999999999996</v>
      </c>
      <c r="I27" s="43"/>
      <c r="J27" s="45"/>
      <c r="K27" s="45"/>
      <c r="L27" s="45"/>
      <c r="M27" s="45"/>
      <c r="N27" s="25"/>
    </row>
    <row r="28" spans="1:14" x14ac:dyDescent="0.25">
      <c r="A28" s="101"/>
      <c r="B28" s="99"/>
      <c r="C28" s="98"/>
      <c r="D28" s="97"/>
      <c r="E28" s="97"/>
      <c r="F28" s="43">
        <v>5</v>
      </c>
      <c r="G28" s="45">
        <f>0.73*2.23</f>
        <v>1.6278999999999999</v>
      </c>
      <c r="H28" s="45">
        <f t="shared" si="0"/>
        <v>8.1395</v>
      </c>
      <c r="I28" s="43"/>
      <c r="J28" s="45"/>
      <c r="K28" s="45"/>
      <c r="L28" s="45"/>
      <c r="M28" s="45"/>
      <c r="N28" s="25"/>
    </row>
    <row r="29" spans="1:14" x14ac:dyDescent="0.25">
      <c r="A29" s="101"/>
      <c r="B29" s="99"/>
      <c r="C29" s="98"/>
      <c r="D29" s="97"/>
      <c r="E29" s="97"/>
      <c r="F29" s="43">
        <v>1</v>
      </c>
      <c r="G29" s="45">
        <f>2.35*0.79</f>
        <v>1.8565000000000003</v>
      </c>
      <c r="H29" s="45">
        <f t="shared" si="0"/>
        <v>1.8565000000000003</v>
      </c>
      <c r="I29" s="43"/>
      <c r="J29" s="45"/>
      <c r="K29" s="45"/>
      <c r="L29" s="45"/>
      <c r="M29" s="45"/>
      <c r="N29" s="25"/>
    </row>
    <row r="30" spans="1:14" x14ac:dyDescent="0.25">
      <c r="A30" s="101"/>
      <c r="B30" s="99" t="s">
        <v>192</v>
      </c>
      <c r="C30" s="98">
        <v>117</v>
      </c>
      <c r="D30" s="97"/>
      <c r="E30" s="97">
        <f>1.83*2.8</f>
        <v>5.1239999999999997</v>
      </c>
      <c r="F30" s="43">
        <v>3</v>
      </c>
      <c r="G30" s="45">
        <f>0.73*2.23</f>
        <v>1.6278999999999999</v>
      </c>
      <c r="H30" s="45">
        <f t="shared" si="0"/>
        <v>4.8836999999999993</v>
      </c>
      <c r="I30" s="43"/>
      <c r="J30" s="45"/>
      <c r="K30" s="45"/>
      <c r="L30" s="45"/>
      <c r="M30" s="45"/>
      <c r="N30" s="25"/>
    </row>
    <row r="31" spans="1:14" x14ac:dyDescent="0.25">
      <c r="A31" s="101"/>
      <c r="B31" s="99"/>
      <c r="C31" s="98"/>
      <c r="D31" s="97"/>
      <c r="E31" s="97"/>
      <c r="F31" s="43">
        <v>1</v>
      </c>
      <c r="G31" s="45">
        <f>0.79*2.35</f>
        <v>1.8565000000000003</v>
      </c>
      <c r="H31" s="45">
        <f t="shared" si="0"/>
        <v>1.8565000000000003</v>
      </c>
      <c r="I31" s="43"/>
      <c r="J31" s="45"/>
      <c r="K31" s="45"/>
      <c r="L31" s="45"/>
      <c r="M31" s="45"/>
      <c r="N31" s="25"/>
    </row>
    <row r="32" spans="1:14" x14ac:dyDescent="0.25">
      <c r="A32" s="101"/>
      <c r="B32" s="99" t="s">
        <v>192</v>
      </c>
      <c r="C32" s="98">
        <v>118</v>
      </c>
      <c r="D32" s="97"/>
      <c r="E32" s="97">
        <f>1.83*2.1</f>
        <v>3.8430000000000004</v>
      </c>
      <c r="F32" s="43">
        <v>4</v>
      </c>
      <c r="G32" s="45">
        <f>0.73*2.23</f>
        <v>1.6278999999999999</v>
      </c>
      <c r="H32" s="45">
        <f t="shared" si="0"/>
        <v>6.5115999999999996</v>
      </c>
      <c r="I32" s="43"/>
      <c r="J32" s="45"/>
      <c r="K32" s="45"/>
      <c r="L32" s="45"/>
      <c r="M32" s="45"/>
      <c r="N32" s="25"/>
    </row>
    <row r="33" spans="1:14" x14ac:dyDescent="0.25">
      <c r="A33" s="101"/>
      <c r="B33" s="99"/>
      <c r="C33" s="98"/>
      <c r="D33" s="97"/>
      <c r="E33" s="97"/>
      <c r="F33" s="43">
        <v>1</v>
      </c>
      <c r="G33" s="45">
        <f>0.79*2.35</f>
        <v>1.8565000000000003</v>
      </c>
      <c r="H33" s="45">
        <f t="shared" si="0"/>
        <v>1.8565000000000003</v>
      </c>
      <c r="I33" s="43"/>
      <c r="J33" s="45"/>
      <c r="K33" s="45"/>
      <c r="L33" s="45"/>
      <c r="M33" s="45"/>
      <c r="N33" s="25"/>
    </row>
    <row r="34" spans="1:14" x14ac:dyDescent="0.25">
      <c r="A34" s="101"/>
      <c r="B34" s="44" t="s">
        <v>192</v>
      </c>
      <c r="C34" s="43">
        <v>119</v>
      </c>
      <c r="D34" s="45"/>
      <c r="E34" s="139">
        <f>2.57*2</f>
        <v>5.14</v>
      </c>
      <c r="F34" s="43">
        <v>2</v>
      </c>
      <c r="G34" s="45">
        <f>0.74*(0.7+1.43)</f>
        <v>1.5761999999999998</v>
      </c>
      <c r="H34" s="45">
        <f t="shared" si="0"/>
        <v>3.1523999999999996</v>
      </c>
      <c r="I34" s="43"/>
      <c r="J34" s="45"/>
      <c r="K34" s="45"/>
      <c r="L34" s="45"/>
      <c r="M34" s="45"/>
      <c r="N34" s="25"/>
    </row>
    <row r="35" spans="1:14" x14ac:dyDescent="0.25">
      <c r="A35" s="101"/>
      <c r="B35" s="44" t="s">
        <v>193</v>
      </c>
      <c r="C35" s="43">
        <v>120</v>
      </c>
      <c r="D35" s="45"/>
      <c r="E35" s="45">
        <f>1.83*1.8</f>
        <v>3.294</v>
      </c>
      <c r="F35" s="43">
        <v>1</v>
      </c>
      <c r="G35" s="45">
        <f>0.74*(0.7+1.43)</f>
        <v>1.5761999999999998</v>
      </c>
      <c r="H35" s="45">
        <f t="shared" si="0"/>
        <v>1.5761999999999998</v>
      </c>
      <c r="I35" s="43"/>
      <c r="J35" s="45"/>
      <c r="K35" s="45"/>
      <c r="L35" s="45"/>
      <c r="M35" s="45"/>
      <c r="N35" s="25"/>
    </row>
    <row r="36" spans="1:14" x14ac:dyDescent="0.25">
      <c r="A36" s="101"/>
      <c r="B36" s="99" t="s">
        <v>184</v>
      </c>
      <c r="C36" s="98">
        <v>121</v>
      </c>
      <c r="D36" s="97">
        <f>1.57*4.6</f>
        <v>7.2219999999999995</v>
      </c>
      <c r="E36" s="97"/>
      <c r="F36" s="43">
        <v>21</v>
      </c>
      <c r="G36" s="45">
        <f>0.74*(0.7+1.43)</f>
        <v>1.5761999999999998</v>
      </c>
      <c r="H36" s="45">
        <f t="shared" si="0"/>
        <v>33.100199999999994</v>
      </c>
      <c r="I36" s="43"/>
      <c r="J36" s="45"/>
      <c r="K36" s="45"/>
      <c r="L36" s="45"/>
      <c r="M36" s="45"/>
      <c r="N36" s="25"/>
    </row>
    <row r="37" spans="1:14" x14ac:dyDescent="0.25">
      <c r="A37" s="101"/>
      <c r="B37" s="99"/>
      <c r="C37" s="98"/>
      <c r="D37" s="97"/>
      <c r="E37" s="97"/>
      <c r="F37" s="43">
        <v>1</v>
      </c>
      <c r="G37" s="45">
        <f>0.73*2.23</f>
        <v>1.6278999999999999</v>
      </c>
      <c r="H37" s="45">
        <f t="shared" si="0"/>
        <v>1.6278999999999999</v>
      </c>
      <c r="I37" s="43"/>
      <c r="J37" s="45"/>
      <c r="K37" s="45"/>
      <c r="L37" s="45"/>
      <c r="M37" s="45"/>
      <c r="N37" s="25"/>
    </row>
    <row r="38" spans="1:14" x14ac:dyDescent="0.25">
      <c r="A38" s="101"/>
      <c r="B38" s="99"/>
      <c r="C38" s="98"/>
      <c r="D38" s="97"/>
      <c r="E38" s="97"/>
      <c r="F38" s="43">
        <v>4</v>
      </c>
      <c r="G38" s="45">
        <f>0.7*1.4</f>
        <v>0.97999999999999987</v>
      </c>
      <c r="H38" s="45">
        <f t="shared" si="0"/>
        <v>3.9199999999999995</v>
      </c>
      <c r="I38" s="43"/>
      <c r="J38" s="45"/>
      <c r="K38" s="45"/>
      <c r="L38" s="45"/>
      <c r="M38" s="45"/>
      <c r="N38" s="25"/>
    </row>
    <row r="39" spans="1:14" ht="15.75" thickBot="1" x14ac:dyDescent="0.3">
      <c r="A39" s="102"/>
      <c r="B39" s="35" t="s">
        <v>194</v>
      </c>
      <c r="C39" s="36">
        <v>129</v>
      </c>
      <c r="D39" s="37">
        <f>1.57*(0.6+1.95+1.95+0.6)</f>
        <v>8.0069999999999997</v>
      </c>
      <c r="E39" s="37"/>
      <c r="F39" s="36"/>
      <c r="G39" s="37"/>
      <c r="H39" s="37"/>
      <c r="I39" s="36"/>
      <c r="J39" s="37"/>
      <c r="K39" s="37"/>
      <c r="L39" s="37"/>
      <c r="M39" s="37"/>
      <c r="N39" s="39"/>
    </row>
    <row r="40" spans="1:14" x14ac:dyDescent="0.25">
      <c r="A40" s="103" t="s">
        <v>70</v>
      </c>
      <c r="B40" s="104"/>
      <c r="C40" s="104"/>
      <c r="D40" s="70">
        <f>SUM(D7:D39)</f>
        <v>55.071100000000001</v>
      </c>
      <c r="E40" s="70">
        <f t="shared" ref="E40" si="1">SUM(E7:E39)</f>
        <v>94.049700000000001</v>
      </c>
      <c r="F40" s="75">
        <f>SUM(F7:F39)</f>
        <v>101</v>
      </c>
      <c r="G40" s="70">
        <f t="shared" ref="G40" si="2">SUM(G7:G39)</f>
        <v>49.761999999999979</v>
      </c>
      <c r="H40" s="70">
        <f t="shared" ref="H40" si="3">SUM(H7:H39)</f>
        <v>158.91659999999999</v>
      </c>
      <c r="I40" s="75">
        <f t="shared" ref="I40" si="4">SUM(I7:I39)</f>
        <v>0</v>
      </c>
      <c r="J40" s="70">
        <f t="shared" ref="J40" si="5">SUM(J7:J39)</f>
        <v>0</v>
      </c>
      <c r="K40" s="70">
        <f t="shared" ref="K40:L40" si="6">SUM(K7:K39)</f>
        <v>0</v>
      </c>
      <c r="L40" s="75">
        <f t="shared" si="6"/>
        <v>0</v>
      </c>
      <c r="M40" s="70">
        <f t="shared" ref="M40" si="7">SUM(M7:M39)</f>
        <v>0</v>
      </c>
      <c r="N40" s="71">
        <f t="shared" ref="N40" si="8">SUM(N7:N39)</f>
        <v>0</v>
      </c>
    </row>
    <row r="41" spans="1:14" ht="15.75" thickBot="1" x14ac:dyDescent="0.3">
      <c r="A41" s="105" t="s">
        <v>195</v>
      </c>
      <c r="B41" s="106"/>
      <c r="C41" s="106"/>
      <c r="D41" s="73">
        <f>D40*2</f>
        <v>110.1422</v>
      </c>
      <c r="E41" s="73">
        <f t="shared" ref="E41:N41" si="9">E40*2</f>
        <v>188.0994</v>
      </c>
      <c r="F41" s="73"/>
      <c r="G41" s="73">
        <f t="shared" si="9"/>
        <v>99.523999999999958</v>
      </c>
      <c r="H41" s="73">
        <f t="shared" si="9"/>
        <v>317.83319999999998</v>
      </c>
      <c r="I41" s="73"/>
      <c r="J41" s="73">
        <f t="shared" si="9"/>
        <v>0</v>
      </c>
      <c r="K41" s="73">
        <f t="shared" si="9"/>
        <v>0</v>
      </c>
      <c r="L41" s="73"/>
      <c r="M41" s="73">
        <f t="shared" si="9"/>
        <v>0</v>
      </c>
      <c r="N41" s="74">
        <f t="shared" si="9"/>
        <v>0</v>
      </c>
    </row>
    <row r="42" spans="1:14" x14ac:dyDescent="0.25">
      <c r="A42" s="69"/>
    </row>
  </sheetData>
  <mergeCells count="51">
    <mergeCell ref="A1:N1"/>
    <mergeCell ref="A2:N2"/>
    <mergeCell ref="A5:A6"/>
    <mergeCell ref="B5:B6"/>
    <mergeCell ref="C5:C6"/>
    <mergeCell ref="F5:H5"/>
    <mergeCell ref="I5:K5"/>
    <mergeCell ref="A7:A39"/>
    <mergeCell ref="B7:B9"/>
    <mergeCell ref="C7:C9"/>
    <mergeCell ref="D7:D9"/>
    <mergeCell ref="E7:E9"/>
    <mergeCell ref="B10:B11"/>
    <mergeCell ref="C10:C11"/>
    <mergeCell ref="D10:D11"/>
    <mergeCell ref="E10:E11"/>
    <mergeCell ref="B13:B14"/>
    <mergeCell ref="C13:C14"/>
    <mergeCell ref="D13:D14"/>
    <mergeCell ref="E13:E14"/>
    <mergeCell ref="B15:B16"/>
    <mergeCell ref="C15:C16"/>
    <mergeCell ref="D15:D16"/>
    <mergeCell ref="E15:E16"/>
    <mergeCell ref="C30:C31"/>
    <mergeCell ref="D30:D31"/>
    <mergeCell ref="E30:E31"/>
    <mergeCell ref="B18:B19"/>
    <mergeCell ref="C18:C19"/>
    <mergeCell ref="D18:D19"/>
    <mergeCell ref="E18:E19"/>
    <mergeCell ref="B22:B24"/>
    <mergeCell ref="C22:C24"/>
    <mergeCell ref="D22:D24"/>
    <mergeCell ref="E22:E24"/>
    <mergeCell ref="A40:C40"/>
    <mergeCell ref="A41:C41"/>
    <mergeCell ref="L5:M5"/>
    <mergeCell ref="B32:B33"/>
    <mergeCell ref="C32:C33"/>
    <mergeCell ref="D32:D33"/>
    <mergeCell ref="E32:E33"/>
    <mergeCell ref="B36:B38"/>
    <mergeCell ref="C36:C38"/>
    <mergeCell ref="D36:D38"/>
    <mergeCell ref="E36:E38"/>
    <mergeCell ref="B27:B29"/>
    <mergeCell ref="C27:C29"/>
    <mergeCell ref="D27:D29"/>
    <mergeCell ref="E27:E29"/>
    <mergeCell ref="B30:B3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pane ySplit="4" topLeftCell="A5" activePane="bottomLeft" state="frozen"/>
      <selection pane="bottomLeft" sqref="A1:N2"/>
    </sheetView>
  </sheetViews>
  <sheetFormatPr baseColWidth="10" defaultRowHeight="15" x14ac:dyDescent="0.25"/>
  <cols>
    <col min="1" max="1" width="10.85546875" style="5"/>
    <col min="2" max="2" width="30.140625" style="6" bestFit="1" customWidth="1"/>
    <col min="3" max="3" width="10.85546875" style="5"/>
    <col min="4" max="5" width="13.7109375" style="42" customWidth="1"/>
    <col min="6" max="6" width="5.7109375" style="5" customWidth="1"/>
    <col min="7" max="7" width="5.7109375" style="42" customWidth="1"/>
    <col min="8" max="8" width="7.28515625" style="42" customWidth="1"/>
    <col min="9" max="9" width="7.28515625" style="5" customWidth="1"/>
    <col min="10" max="10" width="7.28515625" style="42" customWidth="1"/>
    <col min="11" max="11" width="6.28515625" style="42" customWidth="1"/>
    <col min="12" max="12" width="6.28515625" style="72" customWidth="1"/>
    <col min="13" max="13" width="9.42578125" style="42" customWidth="1"/>
    <col min="14" max="14" width="13.7109375" style="5" customWidth="1"/>
  </cols>
  <sheetData>
    <row r="1" spans="1:14" ht="28.5" x14ac:dyDescent="0.25">
      <c r="A1" s="138" t="s">
        <v>314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4" ht="18.75" x14ac:dyDescent="0.25">
      <c r="A2" s="145" t="s">
        <v>319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x14ac:dyDescent="0.25">
      <c r="B3" s="9"/>
    </row>
    <row r="4" spans="1:14" s="1" customFormat="1" ht="15.75" thickBot="1" x14ac:dyDescent="0.3">
      <c r="A4" s="5"/>
      <c r="B4" s="6"/>
      <c r="C4" s="5"/>
      <c r="D4" s="42"/>
      <c r="E4" s="42"/>
      <c r="F4" s="5"/>
      <c r="G4" s="42"/>
      <c r="H4" s="42"/>
      <c r="I4" s="5"/>
      <c r="J4" s="42"/>
      <c r="K4" s="42"/>
      <c r="L4" s="72"/>
      <c r="M4" s="42"/>
      <c r="N4" s="5"/>
    </row>
    <row r="5" spans="1:14" ht="30" x14ac:dyDescent="0.25">
      <c r="A5" s="122" t="s">
        <v>0</v>
      </c>
      <c r="B5" s="124" t="s">
        <v>1</v>
      </c>
      <c r="C5" s="124" t="s">
        <v>2</v>
      </c>
      <c r="D5" s="48" t="s">
        <v>15</v>
      </c>
      <c r="E5" s="48" t="s">
        <v>16</v>
      </c>
      <c r="F5" s="124" t="s">
        <v>17</v>
      </c>
      <c r="G5" s="124"/>
      <c r="H5" s="124"/>
      <c r="I5" s="124" t="s">
        <v>18</v>
      </c>
      <c r="J5" s="124"/>
      <c r="K5" s="124"/>
      <c r="L5" s="113" t="s">
        <v>20</v>
      </c>
      <c r="M5" s="113"/>
      <c r="N5" s="23" t="s">
        <v>19</v>
      </c>
    </row>
    <row r="6" spans="1:14" ht="15.75" thickBot="1" x14ac:dyDescent="0.3">
      <c r="A6" s="123"/>
      <c r="B6" s="125"/>
      <c r="C6" s="125"/>
      <c r="D6" s="32" t="s">
        <v>22</v>
      </c>
      <c r="E6" s="32" t="s">
        <v>22</v>
      </c>
      <c r="F6" s="31" t="s">
        <v>21</v>
      </c>
      <c r="G6" s="32" t="s">
        <v>22</v>
      </c>
      <c r="H6" s="32" t="s">
        <v>23</v>
      </c>
      <c r="I6" s="31" t="s">
        <v>21</v>
      </c>
      <c r="J6" s="32" t="s">
        <v>22</v>
      </c>
      <c r="K6" s="32" t="s">
        <v>23</v>
      </c>
      <c r="L6" s="76" t="s">
        <v>21</v>
      </c>
      <c r="M6" s="32" t="s">
        <v>22</v>
      </c>
      <c r="N6" s="33" t="s">
        <v>22</v>
      </c>
    </row>
    <row r="7" spans="1:14" x14ac:dyDescent="0.25">
      <c r="A7" s="100" t="s">
        <v>197</v>
      </c>
      <c r="B7" s="109" t="s">
        <v>198</v>
      </c>
      <c r="C7" s="110">
        <v>201</v>
      </c>
      <c r="D7" s="111"/>
      <c r="E7" s="111"/>
      <c r="F7" s="60">
        <v>22</v>
      </c>
      <c r="G7" s="61">
        <f>0.7*(1.43+0.7)</f>
        <v>1.4909999999999999</v>
      </c>
      <c r="H7" s="61">
        <f>F7*G7</f>
        <v>32.802</v>
      </c>
      <c r="I7" s="60"/>
      <c r="J7" s="61"/>
      <c r="K7" s="61"/>
      <c r="L7" s="86"/>
      <c r="M7" s="61"/>
      <c r="N7" s="62"/>
    </row>
    <row r="8" spans="1:14" x14ac:dyDescent="0.25">
      <c r="A8" s="101"/>
      <c r="B8" s="99"/>
      <c r="C8" s="98"/>
      <c r="D8" s="97"/>
      <c r="E8" s="97"/>
      <c r="F8" s="43">
        <v>2</v>
      </c>
      <c r="G8" s="45">
        <f>0.74*2.22</f>
        <v>1.6428</v>
      </c>
      <c r="H8" s="45">
        <f t="shared" ref="H8:H34" si="0">F8*G8</f>
        <v>3.2856000000000001</v>
      </c>
      <c r="I8" s="43"/>
      <c r="J8" s="45"/>
      <c r="K8" s="45"/>
      <c r="L8" s="78"/>
      <c r="M8" s="45"/>
      <c r="N8" s="25"/>
    </row>
    <row r="9" spans="1:14" x14ac:dyDescent="0.25">
      <c r="A9" s="101"/>
      <c r="B9" s="44" t="s">
        <v>199</v>
      </c>
      <c r="C9" s="43">
        <v>202</v>
      </c>
      <c r="D9" s="45"/>
      <c r="E9" s="45">
        <f>2.57*(0.97+0.97)</f>
        <v>4.9857999999999993</v>
      </c>
      <c r="F9" s="43">
        <v>2</v>
      </c>
      <c r="G9" s="45">
        <f>0.7*(1.43+0.7)</f>
        <v>1.4909999999999999</v>
      </c>
      <c r="H9" s="45">
        <f t="shared" si="0"/>
        <v>2.9819999999999998</v>
      </c>
      <c r="I9" s="43"/>
      <c r="J9" s="45"/>
      <c r="K9" s="45"/>
      <c r="L9" s="78"/>
      <c r="M9" s="45"/>
      <c r="N9" s="25"/>
    </row>
    <row r="10" spans="1:14" x14ac:dyDescent="0.25">
      <c r="A10" s="101"/>
      <c r="B10" s="99" t="s">
        <v>102</v>
      </c>
      <c r="C10" s="98">
        <v>203</v>
      </c>
      <c r="D10" s="97"/>
      <c r="E10" s="97">
        <f>2.57*2</f>
        <v>5.14</v>
      </c>
      <c r="F10" s="43">
        <v>3</v>
      </c>
      <c r="G10" s="45">
        <f>0.7*(1.43+0.7)</f>
        <v>1.4909999999999999</v>
      </c>
      <c r="H10" s="45">
        <f t="shared" si="0"/>
        <v>4.4729999999999999</v>
      </c>
      <c r="I10" s="43"/>
      <c r="J10" s="45"/>
      <c r="K10" s="45"/>
      <c r="L10" s="78"/>
      <c r="M10" s="45"/>
      <c r="N10" s="25"/>
    </row>
    <row r="11" spans="1:14" x14ac:dyDescent="0.25">
      <c r="A11" s="101"/>
      <c r="B11" s="99"/>
      <c r="C11" s="98"/>
      <c r="D11" s="97"/>
      <c r="E11" s="97"/>
      <c r="F11" s="43">
        <v>1</v>
      </c>
      <c r="G11" s="45">
        <f>0.74*2.22</f>
        <v>1.6428</v>
      </c>
      <c r="H11" s="45">
        <f t="shared" si="0"/>
        <v>1.6428</v>
      </c>
      <c r="I11" s="43"/>
      <c r="J11" s="45"/>
      <c r="K11" s="45"/>
      <c r="L11" s="78"/>
      <c r="M11" s="45"/>
      <c r="N11" s="25"/>
    </row>
    <row r="12" spans="1:14" x14ac:dyDescent="0.25">
      <c r="A12" s="101"/>
      <c r="B12" s="44" t="s">
        <v>200</v>
      </c>
      <c r="C12" s="43">
        <v>204</v>
      </c>
      <c r="D12" s="45"/>
      <c r="E12" s="45">
        <f>2.57*2.2</f>
        <v>5.6539999999999999</v>
      </c>
      <c r="F12" s="43">
        <v>2</v>
      </c>
      <c r="G12" s="45">
        <f>0.7*(1.43+0.7)</f>
        <v>1.4909999999999999</v>
      </c>
      <c r="H12" s="45">
        <f t="shared" si="0"/>
        <v>2.9819999999999998</v>
      </c>
      <c r="I12" s="43"/>
      <c r="J12" s="45"/>
      <c r="K12" s="45"/>
      <c r="L12" s="78"/>
      <c r="M12" s="45"/>
      <c r="N12" s="25"/>
    </row>
    <row r="13" spans="1:14" x14ac:dyDescent="0.25">
      <c r="A13" s="101"/>
      <c r="B13" s="44" t="s">
        <v>201</v>
      </c>
      <c r="C13" s="43">
        <v>205</v>
      </c>
      <c r="D13" s="45"/>
      <c r="E13" s="45">
        <f>2.57*2</f>
        <v>5.14</v>
      </c>
      <c r="F13" s="43"/>
      <c r="G13" s="45"/>
      <c r="H13" s="45">
        <f t="shared" si="0"/>
        <v>0</v>
      </c>
      <c r="I13" s="43"/>
      <c r="J13" s="45"/>
      <c r="K13" s="45"/>
      <c r="L13" s="78"/>
      <c r="M13" s="45"/>
      <c r="N13" s="112">
        <f>2.35*(15+1.28+1.28)</f>
        <v>41.266000000000005</v>
      </c>
    </row>
    <row r="14" spans="1:14" x14ac:dyDescent="0.25">
      <c r="A14" s="101"/>
      <c r="B14" s="44" t="s">
        <v>202</v>
      </c>
      <c r="C14" s="43">
        <v>206</v>
      </c>
      <c r="D14" s="45"/>
      <c r="E14" s="45">
        <f>2.57*0.48</f>
        <v>1.2335999999999998</v>
      </c>
      <c r="F14" s="43"/>
      <c r="G14" s="45"/>
      <c r="H14" s="45">
        <f t="shared" si="0"/>
        <v>0</v>
      </c>
      <c r="I14" s="43"/>
      <c r="J14" s="45"/>
      <c r="K14" s="45"/>
      <c r="L14" s="78"/>
      <c r="M14" s="45"/>
      <c r="N14" s="112"/>
    </row>
    <row r="15" spans="1:14" x14ac:dyDescent="0.25">
      <c r="A15" s="101"/>
      <c r="B15" s="44" t="s">
        <v>203</v>
      </c>
      <c r="C15" s="43">
        <v>207</v>
      </c>
      <c r="D15" s="45"/>
      <c r="E15" s="45">
        <f>2.57*0.97</f>
        <v>2.4928999999999997</v>
      </c>
      <c r="F15" s="43"/>
      <c r="G15" s="45"/>
      <c r="H15" s="45">
        <f t="shared" si="0"/>
        <v>0</v>
      </c>
      <c r="I15" s="43"/>
      <c r="J15" s="45"/>
      <c r="K15" s="45"/>
      <c r="L15" s="78"/>
      <c r="M15" s="45"/>
      <c r="N15" s="112"/>
    </row>
    <row r="16" spans="1:14" x14ac:dyDescent="0.25">
      <c r="A16" s="101"/>
      <c r="B16" s="44" t="s">
        <v>192</v>
      </c>
      <c r="C16" s="43">
        <v>208</v>
      </c>
      <c r="D16" s="45"/>
      <c r="E16" s="45">
        <f>2.57*1</f>
        <v>2.57</v>
      </c>
      <c r="F16" s="43">
        <v>2</v>
      </c>
      <c r="G16" s="45">
        <f>0.7*(1.43+0.7)</f>
        <v>1.4909999999999999</v>
      </c>
      <c r="H16" s="45">
        <f t="shared" si="0"/>
        <v>2.9819999999999998</v>
      </c>
      <c r="I16" s="43"/>
      <c r="J16" s="45"/>
      <c r="K16" s="45"/>
      <c r="L16" s="78"/>
      <c r="M16" s="45"/>
      <c r="N16" s="25"/>
    </row>
    <row r="17" spans="1:14" x14ac:dyDescent="0.25">
      <c r="A17" s="101"/>
      <c r="B17" s="99" t="s">
        <v>192</v>
      </c>
      <c r="C17" s="98">
        <v>209</v>
      </c>
      <c r="D17" s="97"/>
      <c r="E17" s="97">
        <f>2.57*0.75</f>
        <v>1.9274999999999998</v>
      </c>
      <c r="F17" s="43">
        <v>4</v>
      </c>
      <c r="G17" s="45">
        <f>0.7*(1.43+0.7)</f>
        <v>1.4909999999999999</v>
      </c>
      <c r="H17" s="45">
        <f t="shared" si="0"/>
        <v>5.9639999999999995</v>
      </c>
      <c r="I17" s="43"/>
      <c r="J17" s="45"/>
      <c r="K17" s="45"/>
      <c r="L17" s="78"/>
      <c r="M17" s="45"/>
      <c r="N17" s="25"/>
    </row>
    <row r="18" spans="1:14" x14ac:dyDescent="0.25">
      <c r="A18" s="101"/>
      <c r="B18" s="99"/>
      <c r="C18" s="98"/>
      <c r="D18" s="97"/>
      <c r="E18" s="97"/>
      <c r="F18" s="43">
        <v>1</v>
      </c>
      <c r="G18" s="45">
        <f>0.74*2.22</f>
        <v>1.6428</v>
      </c>
      <c r="H18" s="45">
        <f>F18*G18</f>
        <v>1.6428</v>
      </c>
      <c r="I18" s="43"/>
      <c r="J18" s="45"/>
      <c r="K18" s="45"/>
      <c r="L18" s="78"/>
      <c r="M18" s="45"/>
      <c r="N18" s="25"/>
    </row>
    <row r="19" spans="1:14" x14ac:dyDescent="0.25">
      <c r="A19" s="101"/>
      <c r="B19" s="99" t="s">
        <v>204</v>
      </c>
      <c r="C19" s="98">
        <v>210</v>
      </c>
      <c r="D19" s="97"/>
      <c r="E19" s="97"/>
      <c r="F19" s="43">
        <v>12</v>
      </c>
      <c r="G19" s="45">
        <f>0.7*(1.43+0.7)</f>
        <v>1.4909999999999999</v>
      </c>
      <c r="H19" s="45">
        <f t="shared" si="0"/>
        <v>17.891999999999999</v>
      </c>
      <c r="I19" s="43"/>
      <c r="J19" s="45"/>
      <c r="K19" s="45"/>
      <c r="L19" s="78"/>
      <c r="M19" s="45"/>
      <c r="N19" s="25"/>
    </row>
    <row r="20" spans="1:14" x14ac:dyDescent="0.25">
      <c r="A20" s="101"/>
      <c r="B20" s="99"/>
      <c r="C20" s="98"/>
      <c r="D20" s="97"/>
      <c r="E20" s="97"/>
      <c r="F20" s="43">
        <v>5</v>
      </c>
      <c r="G20" s="45">
        <f>0.74*2.22</f>
        <v>1.6428</v>
      </c>
      <c r="H20" s="45">
        <f t="shared" si="0"/>
        <v>8.2140000000000004</v>
      </c>
      <c r="I20" s="43"/>
      <c r="J20" s="45"/>
      <c r="K20" s="45"/>
      <c r="L20" s="78"/>
      <c r="M20" s="45"/>
      <c r="N20" s="25"/>
    </row>
    <row r="21" spans="1:14" x14ac:dyDescent="0.25">
      <c r="A21" s="101"/>
      <c r="B21" s="99"/>
      <c r="C21" s="98"/>
      <c r="D21" s="97"/>
      <c r="E21" s="97"/>
      <c r="F21" s="43">
        <v>2</v>
      </c>
      <c r="G21" s="45">
        <f>0.78*2.38</f>
        <v>1.8564000000000001</v>
      </c>
      <c r="H21" s="45">
        <f t="shared" si="0"/>
        <v>3.7128000000000001</v>
      </c>
      <c r="I21" s="43"/>
      <c r="J21" s="45"/>
      <c r="K21" s="45"/>
      <c r="L21" s="78"/>
      <c r="M21" s="45"/>
      <c r="N21" s="25"/>
    </row>
    <row r="22" spans="1:14" x14ac:dyDescent="0.25">
      <c r="A22" s="101"/>
      <c r="B22" s="99" t="s">
        <v>205</v>
      </c>
      <c r="C22" s="98">
        <v>211</v>
      </c>
      <c r="D22" s="98"/>
      <c r="E22" s="98">
        <f>2.57*0.46</f>
        <v>1.1821999999999999</v>
      </c>
      <c r="F22" s="43">
        <v>2</v>
      </c>
      <c r="G22" s="45">
        <f>0.7*(1.43+0.7)</f>
        <v>1.4909999999999999</v>
      </c>
      <c r="H22" s="45">
        <f t="shared" si="0"/>
        <v>2.9819999999999998</v>
      </c>
      <c r="I22" s="43"/>
      <c r="J22" s="45"/>
      <c r="K22" s="45"/>
      <c r="L22" s="78"/>
      <c r="M22" s="45"/>
      <c r="N22" s="25"/>
    </row>
    <row r="23" spans="1:14" x14ac:dyDescent="0.25">
      <c r="A23" s="101"/>
      <c r="B23" s="99"/>
      <c r="C23" s="98"/>
      <c r="D23" s="98"/>
      <c r="E23" s="98"/>
      <c r="F23" s="43">
        <v>1</v>
      </c>
      <c r="G23" s="45">
        <f>0.74*2.22</f>
        <v>1.6428</v>
      </c>
      <c r="H23" s="45">
        <f t="shared" si="0"/>
        <v>1.6428</v>
      </c>
      <c r="I23" s="43"/>
      <c r="J23" s="45"/>
      <c r="K23" s="45"/>
      <c r="L23" s="78"/>
      <c r="M23" s="45"/>
      <c r="N23" s="25"/>
    </row>
    <row r="24" spans="1:14" x14ac:dyDescent="0.25">
      <c r="A24" s="101"/>
      <c r="B24" s="44" t="s">
        <v>206</v>
      </c>
      <c r="C24" s="43">
        <v>212</v>
      </c>
      <c r="D24" s="45"/>
      <c r="E24" s="45">
        <f>2.57*0.69</f>
        <v>1.7732999999999997</v>
      </c>
      <c r="F24" s="43">
        <v>1</v>
      </c>
      <c r="G24" s="45">
        <f>0.7*(1.43+0.7)</f>
        <v>1.4909999999999999</v>
      </c>
      <c r="H24" s="45">
        <f t="shared" si="0"/>
        <v>1.4909999999999999</v>
      </c>
      <c r="I24" s="43"/>
      <c r="J24" s="45"/>
      <c r="K24" s="45"/>
      <c r="L24" s="78"/>
      <c r="M24" s="45"/>
      <c r="N24" s="25"/>
    </row>
    <row r="25" spans="1:14" x14ac:dyDescent="0.25">
      <c r="A25" s="101"/>
      <c r="B25" s="44" t="s">
        <v>207</v>
      </c>
      <c r="C25" s="43">
        <v>213</v>
      </c>
      <c r="D25" s="45"/>
      <c r="E25" s="45">
        <f>2.57*0.68</f>
        <v>1.7476</v>
      </c>
      <c r="F25" s="43">
        <v>1</v>
      </c>
      <c r="G25" s="45">
        <f>0.7*(1.43+0.7)</f>
        <v>1.4909999999999999</v>
      </c>
      <c r="H25" s="45">
        <f t="shared" si="0"/>
        <v>1.4909999999999999</v>
      </c>
      <c r="I25" s="43"/>
      <c r="J25" s="45"/>
      <c r="K25" s="45"/>
      <c r="L25" s="78"/>
      <c r="M25" s="45"/>
      <c r="N25" s="25"/>
    </row>
    <row r="26" spans="1:14" x14ac:dyDescent="0.25">
      <c r="A26" s="101"/>
      <c r="B26" s="44" t="s">
        <v>208</v>
      </c>
      <c r="C26" s="43">
        <v>214</v>
      </c>
      <c r="D26" s="45"/>
      <c r="E26" s="45">
        <f>2.57*0.68</f>
        <v>1.7476</v>
      </c>
      <c r="F26" s="43">
        <v>2</v>
      </c>
      <c r="G26" s="45">
        <f t="shared" ref="G26:G33" si="1">0.7*(1.43+0.7)</f>
        <v>1.4909999999999999</v>
      </c>
      <c r="H26" s="45">
        <f t="shared" si="0"/>
        <v>2.9819999999999998</v>
      </c>
      <c r="I26" s="43"/>
      <c r="J26" s="45"/>
      <c r="K26" s="45"/>
      <c r="L26" s="78"/>
      <c r="M26" s="45"/>
      <c r="N26" s="25"/>
    </row>
    <row r="27" spans="1:14" x14ac:dyDescent="0.25">
      <c r="A27" s="101"/>
      <c r="B27" s="44" t="s">
        <v>209</v>
      </c>
      <c r="C27" s="43">
        <v>215</v>
      </c>
      <c r="D27" s="45"/>
      <c r="E27" s="45">
        <f>2.57*2</f>
        <v>5.14</v>
      </c>
      <c r="F27" s="43">
        <v>1</v>
      </c>
      <c r="G27" s="45">
        <f t="shared" si="1"/>
        <v>1.4909999999999999</v>
      </c>
      <c r="H27" s="45">
        <f t="shared" si="0"/>
        <v>1.4909999999999999</v>
      </c>
      <c r="I27" s="43"/>
      <c r="J27" s="45"/>
      <c r="K27" s="45"/>
      <c r="L27" s="78"/>
      <c r="M27" s="45"/>
      <c r="N27" s="25"/>
    </row>
    <row r="28" spans="1:14" x14ac:dyDescent="0.25">
      <c r="A28" s="101"/>
      <c r="B28" s="44" t="s">
        <v>190</v>
      </c>
      <c r="C28" s="43">
        <v>216</v>
      </c>
      <c r="D28" s="45"/>
      <c r="E28" s="45">
        <f>2.57*2.35</f>
        <v>6.0394999999999994</v>
      </c>
      <c r="F28" s="43"/>
      <c r="G28" s="45"/>
      <c r="H28" s="45">
        <f t="shared" si="0"/>
        <v>0</v>
      </c>
      <c r="I28" s="43"/>
      <c r="J28" s="45"/>
      <c r="K28" s="45"/>
      <c r="L28" s="78"/>
      <c r="M28" s="45"/>
      <c r="N28" s="25"/>
    </row>
    <row r="29" spans="1:14" x14ac:dyDescent="0.25">
      <c r="A29" s="101"/>
      <c r="B29" s="44" t="s">
        <v>210</v>
      </c>
      <c r="C29" s="43">
        <v>217</v>
      </c>
      <c r="D29" s="45"/>
      <c r="E29" s="45">
        <f>2.57*1.32</f>
        <v>3.3923999999999999</v>
      </c>
      <c r="F29" s="43">
        <v>2</v>
      </c>
      <c r="G29" s="45">
        <f t="shared" si="1"/>
        <v>1.4909999999999999</v>
      </c>
      <c r="H29" s="45">
        <f t="shared" si="0"/>
        <v>2.9819999999999998</v>
      </c>
      <c r="I29" s="43"/>
      <c r="J29" s="45"/>
      <c r="K29" s="45"/>
      <c r="L29" s="78"/>
      <c r="M29" s="45"/>
      <c r="N29" s="25"/>
    </row>
    <row r="30" spans="1:14" x14ac:dyDescent="0.25">
      <c r="A30" s="101"/>
      <c r="B30" s="44" t="s">
        <v>211</v>
      </c>
      <c r="C30" s="43">
        <v>218</v>
      </c>
      <c r="D30" s="45">
        <f>1.58*(0.58+4.46)</f>
        <v>7.9632000000000005</v>
      </c>
      <c r="E30" s="45"/>
      <c r="F30" s="43">
        <v>4</v>
      </c>
      <c r="G30" s="45">
        <f t="shared" si="1"/>
        <v>1.4909999999999999</v>
      </c>
      <c r="H30" s="45">
        <f t="shared" si="0"/>
        <v>5.9639999999999995</v>
      </c>
      <c r="I30" s="43"/>
      <c r="J30" s="45"/>
      <c r="K30" s="45"/>
      <c r="L30" s="78"/>
      <c r="M30" s="45"/>
      <c r="N30" s="25"/>
    </row>
    <row r="31" spans="1:14" x14ac:dyDescent="0.25">
      <c r="A31" s="101"/>
      <c r="B31" s="44" t="s">
        <v>212</v>
      </c>
      <c r="C31" s="43">
        <v>219</v>
      </c>
      <c r="D31" s="45">
        <f>1.58*(2.06+1.67)</f>
        <v>5.8934000000000006</v>
      </c>
      <c r="E31" s="45">
        <f>2.57*2.77</f>
        <v>7.1189</v>
      </c>
      <c r="F31" s="43">
        <v>2</v>
      </c>
      <c r="G31" s="45">
        <f t="shared" si="1"/>
        <v>1.4909999999999999</v>
      </c>
      <c r="H31" s="45">
        <f t="shared" si="0"/>
        <v>2.9819999999999998</v>
      </c>
      <c r="I31" s="43"/>
      <c r="J31" s="45"/>
      <c r="K31" s="45"/>
      <c r="L31" s="78"/>
      <c r="M31" s="45"/>
      <c r="N31" s="25"/>
    </row>
    <row r="32" spans="1:14" x14ac:dyDescent="0.25">
      <c r="A32" s="101"/>
      <c r="B32" s="44" t="s">
        <v>213</v>
      </c>
      <c r="C32" s="43">
        <v>221</v>
      </c>
      <c r="D32" s="45">
        <f>1*3.5</f>
        <v>3.5</v>
      </c>
      <c r="E32" s="45">
        <f>2.57*1.4</f>
        <v>3.5979999999999994</v>
      </c>
      <c r="F32" s="43"/>
      <c r="G32" s="45"/>
      <c r="H32" s="45">
        <f t="shared" si="0"/>
        <v>0</v>
      </c>
      <c r="I32" s="43"/>
      <c r="J32" s="45"/>
      <c r="K32" s="45"/>
      <c r="L32" s="78"/>
      <c r="M32" s="45"/>
      <c r="N32" s="25"/>
    </row>
    <row r="33" spans="1:14" x14ac:dyDescent="0.25">
      <c r="A33" s="101"/>
      <c r="B33" s="44" t="s">
        <v>214</v>
      </c>
      <c r="C33" s="43">
        <v>222</v>
      </c>
      <c r="D33" s="45"/>
      <c r="E33" s="45">
        <f>2.57*(1+1.68+2.66+1.68+1)</f>
        <v>20.611399999999996</v>
      </c>
      <c r="F33" s="43">
        <v>2</v>
      </c>
      <c r="G33" s="45">
        <f t="shared" si="1"/>
        <v>1.4909999999999999</v>
      </c>
      <c r="H33" s="45">
        <f t="shared" si="0"/>
        <v>2.9819999999999998</v>
      </c>
      <c r="I33" s="43"/>
      <c r="J33" s="45"/>
      <c r="K33" s="45"/>
      <c r="L33" s="78"/>
      <c r="M33" s="45"/>
      <c r="N33" s="25"/>
    </row>
    <row r="34" spans="1:14" ht="15.75" thickBot="1" x14ac:dyDescent="0.3">
      <c r="A34" s="102"/>
      <c r="B34" s="35" t="s">
        <v>215</v>
      </c>
      <c r="C34" s="36">
        <v>228</v>
      </c>
      <c r="D34" s="141">
        <f>2.57*2.7</f>
        <v>6.9390000000000001</v>
      </c>
      <c r="E34" s="37"/>
      <c r="F34" s="36"/>
      <c r="G34" s="37"/>
      <c r="H34" s="37">
        <f t="shared" si="0"/>
        <v>0</v>
      </c>
      <c r="I34" s="36"/>
      <c r="J34" s="37"/>
      <c r="K34" s="37"/>
      <c r="L34" s="80"/>
      <c r="M34" s="37"/>
      <c r="N34" s="39"/>
    </row>
    <row r="35" spans="1:14" x14ac:dyDescent="0.25">
      <c r="A35" s="103" t="s">
        <v>70</v>
      </c>
      <c r="B35" s="104"/>
      <c r="C35" s="104"/>
      <c r="D35" s="70">
        <f>SUM(D7:D34)</f>
        <v>24.2956</v>
      </c>
      <c r="E35" s="70">
        <f t="shared" ref="E35:N35" si="2">SUM(E7:E34)</f>
        <v>81.494699999999995</v>
      </c>
      <c r="F35" s="75">
        <f t="shared" si="2"/>
        <v>76</v>
      </c>
      <c r="G35" s="70">
        <f t="shared" si="2"/>
        <v>33.926400000000001</v>
      </c>
      <c r="H35" s="70">
        <f t="shared" si="2"/>
        <v>115.56479999999999</v>
      </c>
      <c r="I35" s="75">
        <f t="shared" si="2"/>
        <v>0</v>
      </c>
      <c r="J35" s="70">
        <f t="shared" si="2"/>
        <v>0</v>
      </c>
      <c r="K35" s="70">
        <f t="shared" si="2"/>
        <v>0</v>
      </c>
      <c r="L35" s="75">
        <f t="shared" si="2"/>
        <v>0</v>
      </c>
      <c r="M35" s="70">
        <f t="shared" si="2"/>
        <v>0</v>
      </c>
      <c r="N35" s="71">
        <f t="shared" si="2"/>
        <v>41.266000000000005</v>
      </c>
    </row>
    <row r="36" spans="1:14" ht="15.75" thickBot="1" x14ac:dyDescent="0.3">
      <c r="A36" s="105" t="s">
        <v>195</v>
      </c>
      <c r="B36" s="106"/>
      <c r="C36" s="106"/>
      <c r="D36" s="73">
        <f>D35*2</f>
        <v>48.591200000000001</v>
      </c>
      <c r="E36" s="73">
        <f t="shared" ref="E36:N36" si="3">E35*2</f>
        <v>162.98939999999999</v>
      </c>
      <c r="F36" s="73"/>
      <c r="G36" s="73">
        <f t="shared" si="3"/>
        <v>67.852800000000002</v>
      </c>
      <c r="H36" s="73">
        <f t="shared" si="3"/>
        <v>231.12959999999998</v>
      </c>
      <c r="I36" s="73"/>
      <c r="J36" s="73">
        <f t="shared" si="3"/>
        <v>0</v>
      </c>
      <c r="K36" s="73">
        <f t="shared" si="3"/>
        <v>0</v>
      </c>
      <c r="L36" s="73"/>
      <c r="M36" s="73">
        <f t="shared" si="3"/>
        <v>0</v>
      </c>
      <c r="N36" s="74">
        <f t="shared" si="3"/>
        <v>82.532000000000011</v>
      </c>
    </row>
  </sheetData>
  <mergeCells count="32">
    <mergeCell ref="L5:M5"/>
    <mergeCell ref="A1:N1"/>
    <mergeCell ref="A2:N2"/>
    <mergeCell ref="A5:A6"/>
    <mergeCell ref="B5:B6"/>
    <mergeCell ref="C5:C6"/>
    <mergeCell ref="F5:H5"/>
    <mergeCell ref="I5:K5"/>
    <mergeCell ref="B19:B21"/>
    <mergeCell ref="C19:C21"/>
    <mergeCell ref="D19:D21"/>
    <mergeCell ref="E19:E21"/>
    <mergeCell ref="A7:A34"/>
    <mergeCell ref="B7:B8"/>
    <mergeCell ref="C7:C8"/>
    <mergeCell ref="D7:D8"/>
    <mergeCell ref="E7:E8"/>
    <mergeCell ref="B10:B11"/>
    <mergeCell ref="C10:C11"/>
    <mergeCell ref="D10:D11"/>
    <mergeCell ref="E10:E11"/>
    <mergeCell ref="B22:B23"/>
    <mergeCell ref="N13:N15"/>
    <mergeCell ref="B17:B18"/>
    <mergeCell ref="C17:C18"/>
    <mergeCell ref="D17:D18"/>
    <mergeCell ref="E17:E18"/>
    <mergeCell ref="C22:C23"/>
    <mergeCell ref="D22:D23"/>
    <mergeCell ref="E22:E23"/>
    <mergeCell ref="A35:C35"/>
    <mergeCell ref="A36:C3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pane ySplit="4" topLeftCell="A5" activePane="bottomLeft" state="frozen"/>
      <selection pane="bottomLeft" sqref="A1:N2"/>
    </sheetView>
  </sheetViews>
  <sheetFormatPr baseColWidth="10" defaultRowHeight="15" x14ac:dyDescent="0.25"/>
  <cols>
    <col min="1" max="1" width="10.85546875" style="5"/>
    <col min="2" max="2" width="30.140625" style="6" bestFit="1" customWidth="1"/>
    <col min="3" max="3" width="10.85546875" style="5"/>
    <col min="4" max="5" width="13.7109375" style="42" customWidth="1"/>
    <col min="6" max="6" width="5.7109375" style="5" customWidth="1"/>
    <col min="7" max="7" width="5.7109375" style="42" customWidth="1"/>
    <col min="8" max="8" width="7.28515625" style="42" customWidth="1"/>
    <col min="9" max="9" width="7.28515625" style="5" customWidth="1"/>
    <col min="10" max="10" width="7.28515625" style="42" customWidth="1"/>
    <col min="11" max="11" width="6.28515625" style="42" customWidth="1"/>
    <col min="12" max="12" width="6.28515625" style="72" customWidth="1"/>
    <col min="13" max="13" width="9.42578125" style="42" customWidth="1"/>
    <col min="14" max="14" width="13.7109375" style="5" customWidth="1"/>
  </cols>
  <sheetData>
    <row r="1" spans="1:14" ht="28.5" x14ac:dyDescent="0.25">
      <c r="A1" s="138" t="s">
        <v>314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4" ht="18.75" x14ac:dyDescent="0.25">
      <c r="A2" s="145" t="s">
        <v>320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x14ac:dyDescent="0.25">
      <c r="B3" s="9"/>
    </row>
    <row r="4" spans="1:14" s="1" customFormat="1" ht="15.75" thickBot="1" x14ac:dyDescent="0.3">
      <c r="A4" s="5"/>
      <c r="B4" s="6"/>
      <c r="C4" s="5"/>
      <c r="D4" s="42"/>
      <c r="E4" s="42"/>
      <c r="F4" s="5"/>
      <c r="G4" s="42"/>
      <c r="H4" s="42"/>
      <c r="I4" s="5"/>
      <c r="J4" s="42"/>
      <c r="K4" s="42"/>
      <c r="L4" s="72"/>
      <c r="M4" s="42"/>
      <c r="N4" s="5"/>
    </row>
    <row r="5" spans="1:14" ht="30" x14ac:dyDescent="0.25">
      <c r="A5" s="122" t="s">
        <v>0</v>
      </c>
      <c r="B5" s="124" t="s">
        <v>1</v>
      </c>
      <c r="C5" s="124" t="s">
        <v>2</v>
      </c>
      <c r="D5" s="48" t="s">
        <v>15</v>
      </c>
      <c r="E5" s="48" t="s">
        <v>16</v>
      </c>
      <c r="F5" s="124" t="s">
        <v>17</v>
      </c>
      <c r="G5" s="124"/>
      <c r="H5" s="124"/>
      <c r="I5" s="124" t="s">
        <v>18</v>
      </c>
      <c r="J5" s="124"/>
      <c r="K5" s="124"/>
      <c r="L5" s="113" t="s">
        <v>20</v>
      </c>
      <c r="M5" s="113"/>
      <c r="N5" s="23" t="s">
        <v>19</v>
      </c>
    </row>
    <row r="6" spans="1:14" ht="15.75" thickBot="1" x14ac:dyDescent="0.3">
      <c r="A6" s="136"/>
      <c r="B6" s="137"/>
      <c r="C6" s="137"/>
      <c r="D6" s="88" t="s">
        <v>22</v>
      </c>
      <c r="E6" s="88" t="s">
        <v>22</v>
      </c>
      <c r="F6" s="89" t="s">
        <v>21</v>
      </c>
      <c r="G6" s="88" t="s">
        <v>22</v>
      </c>
      <c r="H6" s="88" t="s">
        <v>23</v>
      </c>
      <c r="I6" s="89" t="s">
        <v>21</v>
      </c>
      <c r="J6" s="88" t="s">
        <v>22</v>
      </c>
      <c r="K6" s="88" t="s">
        <v>23</v>
      </c>
      <c r="L6" s="90" t="s">
        <v>21</v>
      </c>
      <c r="M6" s="88" t="s">
        <v>22</v>
      </c>
      <c r="N6" s="91" t="s">
        <v>22</v>
      </c>
    </row>
    <row r="7" spans="1:14" x14ac:dyDescent="0.25">
      <c r="A7" s="100" t="s">
        <v>216</v>
      </c>
      <c r="B7" s="59" t="s">
        <v>217</v>
      </c>
      <c r="C7" s="60">
        <v>301</v>
      </c>
      <c r="D7" s="61"/>
      <c r="E7" s="61"/>
      <c r="F7" s="60"/>
      <c r="G7" s="61"/>
      <c r="H7" s="61">
        <f>F7*G7</f>
        <v>0</v>
      </c>
      <c r="I7" s="60"/>
      <c r="J7" s="61"/>
      <c r="K7" s="61"/>
      <c r="L7" s="86"/>
      <c r="M7" s="61"/>
      <c r="N7" s="87">
        <f>2.35*(1.28+15+12.19+1.28)</f>
        <v>69.912500000000009</v>
      </c>
    </row>
    <row r="8" spans="1:14" x14ac:dyDescent="0.25">
      <c r="A8" s="101"/>
      <c r="B8" s="44" t="s">
        <v>218</v>
      </c>
      <c r="C8" s="43">
        <v>302</v>
      </c>
      <c r="D8" s="45"/>
      <c r="E8" s="45">
        <f>2.58*2.34</f>
        <v>6.0371999999999995</v>
      </c>
      <c r="F8" s="43">
        <v>2</v>
      </c>
      <c r="G8" s="45">
        <f>0.74*(1.43+0.7)</f>
        <v>1.5761999999999998</v>
      </c>
      <c r="H8" s="45">
        <f>F8*G8</f>
        <v>3.1523999999999996</v>
      </c>
      <c r="I8" s="43"/>
      <c r="J8" s="45"/>
      <c r="K8" s="45"/>
      <c r="L8" s="78"/>
      <c r="M8" s="45"/>
      <c r="N8" s="25"/>
    </row>
    <row r="9" spans="1:14" x14ac:dyDescent="0.25">
      <c r="A9" s="101"/>
      <c r="B9" s="44" t="s">
        <v>219</v>
      </c>
      <c r="C9" s="43">
        <v>303</v>
      </c>
      <c r="D9" s="45"/>
      <c r="E9" s="45">
        <f>2.58*(1.95+3.41)</f>
        <v>13.828800000000001</v>
      </c>
      <c r="F9" s="43">
        <v>1</v>
      </c>
      <c r="G9" s="45">
        <f t="shared" ref="G9:G29" si="0">0.74*(1.43+0.7)</f>
        <v>1.5761999999999998</v>
      </c>
      <c r="H9" s="45">
        <f t="shared" ref="H9:H30" si="1">F9*G9</f>
        <v>1.5761999999999998</v>
      </c>
      <c r="I9" s="43"/>
      <c r="J9" s="45"/>
      <c r="K9" s="45"/>
      <c r="L9" s="78"/>
      <c r="M9" s="45"/>
      <c r="N9" s="25"/>
    </row>
    <row r="10" spans="1:14" x14ac:dyDescent="0.25">
      <c r="A10" s="101"/>
      <c r="B10" s="44" t="s">
        <v>219</v>
      </c>
      <c r="C10" s="43">
        <v>304</v>
      </c>
      <c r="D10" s="45"/>
      <c r="E10" s="45">
        <f>2.58*0.66</f>
        <v>1.7028000000000001</v>
      </c>
      <c r="F10" s="43"/>
      <c r="G10" s="45"/>
      <c r="H10" s="45">
        <f t="shared" si="1"/>
        <v>0</v>
      </c>
      <c r="I10" s="43"/>
      <c r="J10" s="45"/>
      <c r="K10" s="45"/>
      <c r="L10" s="78"/>
      <c r="M10" s="45"/>
      <c r="N10" s="25"/>
    </row>
    <row r="11" spans="1:14" x14ac:dyDescent="0.25">
      <c r="A11" s="101"/>
      <c r="B11" s="44" t="s">
        <v>220</v>
      </c>
      <c r="C11" s="43">
        <v>305</v>
      </c>
      <c r="D11" s="45"/>
      <c r="E11" s="45"/>
      <c r="F11" s="43">
        <v>3</v>
      </c>
      <c r="G11" s="45">
        <f t="shared" si="0"/>
        <v>1.5761999999999998</v>
      </c>
      <c r="H11" s="45">
        <f t="shared" si="1"/>
        <v>4.7285999999999992</v>
      </c>
      <c r="I11" s="43"/>
      <c r="J11" s="45"/>
      <c r="K11" s="45"/>
      <c r="L11" s="78"/>
      <c r="M11" s="45"/>
      <c r="N11" s="25"/>
    </row>
    <row r="12" spans="1:14" x14ac:dyDescent="0.25">
      <c r="A12" s="101"/>
      <c r="B12" s="44" t="s">
        <v>102</v>
      </c>
      <c r="C12" s="43">
        <v>306</v>
      </c>
      <c r="D12" s="45"/>
      <c r="E12" s="45">
        <f>2.58*3.37</f>
        <v>8.6946000000000012</v>
      </c>
      <c r="F12" s="43">
        <v>2</v>
      </c>
      <c r="G12" s="45">
        <f t="shared" si="0"/>
        <v>1.5761999999999998</v>
      </c>
      <c r="H12" s="45">
        <f t="shared" si="1"/>
        <v>3.1523999999999996</v>
      </c>
      <c r="I12" s="43"/>
      <c r="J12" s="45"/>
      <c r="K12" s="45"/>
      <c r="L12" s="78"/>
      <c r="M12" s="45"/>
      <c r="N12" s="25"/>
    </row>
    <row r="13" spans="1:14" x14ac:dyDescent="0.25">
      <c r="A13" s="101"/>
      <c r="B13" s="44" t="s">
        <v>200</v>
      </c>
      <c r="C13" s="43">
        <v>307</v>
      </c>
      <c r="D13" s="45"/>
      <c r="E13" s="45">
        <f>2.58*0.65</f>
        <v>1.677</v>
      </c>
      <c r="F13" s="43">
        <v>3</v>
      </c>
      <c r="G13" s="45">
        <f t="shared" si="0"/>
        <v>1.5761999999999998</v>
      </c>
      <c r="H13" s="45">
        <f t="shared" si="1"/>
        <v>4.7285999999999992</v>
      </c>
      <c r="I13" s="43"/>
      <c r="J13" s="45"/>
      <c r="K13" s="45"/>
      <c r="L13" s="78"/>
      <c r="M13" s="45"/>
      <c r="N13" s="25"/>
    </row>
    <row r="14" spans="1:14" x14ac:dyDescent="0.25">
      <c r="A14" s="101"/>
      <c r="B14" s="44" t="s">
        <v>200</v>
      </c>
      <c r="C14" s="43">
        <v>308</v>
      </c>
      <c r="D14" s="45"/>
      <c r="E14" s="45">
        <f>2.58*0.5</f>
        <v>1.29</v>
      </c>
      <c r="F14" s="43">
        <v>2</v>
      </c>
      <c r="G14" s="45">
        <f t="shared" si="0"/>
        <v>1.5761999999999998</v>
      </c>
      <c r="H14" s="45">
        <f t="shared" si="1"/>
        <v>3.1523999999999996</v>
      </c>
      <c r="I14" s="43"/>
      <c r="J14" s="45"/>
      <c r="K14" s="45"/>
      <c r="L14" s="78"/>
      <c r="M14" s="45"/>
      <c r="N14" s="25"/>
    </row>
    <row r="15" spans="1:14" x14ac:dyDescent="0.25">
      <c r="A15" s="101"/>
      <c r="B15" s="44" t="s">
        <v>221</v>
      </c>
      <c r="C15" s="43">
        <v>309</v>
      </c>
      <c r="D15" s="45"/>
      <c r="E15" s="45">
        <f>2.58*3</f>
        <v>7.74</v>
      </c>
      <c r="F15" s="43">
        <v>13</v>
      </c>
      <c r="G15" s="45">
        <f t="shared" si="0"/>
        <v>1.5761999999999998</v>
      </c>
      <c r="H15" s="45">
        <f t="shared" si="1"/>
        <v>20.490599999999997</v>
      </c>
      <c r="I15" s="43"/>
      <c r="J15" s="45"/>
      <c r="K15" s="45"/>
      <c r="L15" s="78"/>
      <c r="M15" s="45"/>
      <c r="N15" s="25"/>
    </row>
    <row r="16" spans="1:14" x14ac:dyDescent="0.25">
      <c r="A16" s="101"/>
      <c r="B16" s="44" t="s">
        <v>222</v>
      </c>
      <c r="C16" s="43">
        <v>310</v>
      </c>
      <c r="D16" s="45"/>
      <c r="E16" s="45">
        <f>2.58*(0.91+2.97+2)</f>
        <v>15.170400000000003</v>
      </c>
      <c r="F16" s="43">
        <v>2</v>
      </c>
      <c r="G16" s="45"/>
      <c r="H16" s="45">
        <f t="shared" si="1"/>
        <v>0</v>
      </c>
      <c r="I16" s="43"/>
      <c r="J16" s="45"/>
      <c r="K16" s="45"/>
      <c r="L16" s="78"/>
      <c r="M16" s="45"/>
      <c r="N16" s="25"/>
    </row>
    <row r="17" spans="1:14" x14ac:dyDescent="0.25">
      <c r="A17" s="101"/>
      <c r="B17" s="44" t="s">
        <v>224</v>
      </c>
      <c r="C17" s="43">
        <v>311</v>
      </c>
      <c r="D17" s="45"/>
      <c r="E17" s="45">
        <f>2.58*(0.97+0.4)</f>
        <v>3.5346000000000002</v>
      </c>
      <c r="F17" s="43">
        <v>2</v>
      </c>
      <c r="G17" s="45">
        <f t="shared" si="0"/>
        <v>1.5761999999999998</v>
      </c>
      <c r="H17" s="45">
        <f t="shared" si="1"/>
        <v>3.1523999999999996</v>
      </c>
      <c r="I17" s="43"/>
      <c r="J17" s="45"/>
      <c r="K17" s="45"/>
      <c r="L17" s="78"/>
      <c r="M17" s="45"/>
      <c r="N17" s="25"/>
    </row>
    <row r="18" spans="1:14" s="5" customFormat="1" x14ac:dyDescent="0.25">
      <c r="A18" s="101"/>
      <c r="B18" s="44" t="s">
        <v>225</v>
      </c>
      <c r="C18" s="43">
        <v>312</v>
      </c>
      <c r="D18" s="45"/>
      <c r="E18" s="45">
        <f>2.4*1.5</f>
        <v>3.5999999999999996</v>
      </c>
      <c r="F18" s="43"/>
      <c r="G18" s="45"/>
      <c r="H18" s="45">
        <f t="shared" si="1"/>
        <v>0</v>
      </c>
      <c r="I18" s="43"/>
      <c r="J18" s="45"/>
      <c r="K18" s="45"/>
      <c r="L18" s="78"/>
      <c r="M18" s="45"/>
      <c r="N18" s="25"/>
    </row>
    <row r="19" spans="1:14" s="5" customFormat="1" x14ac:dyDescent="0.25">
      <c r="A19" s="101"/>
      <c r="B19" s="44" t="s">
        <v>222</v>
      </c>
      <c r="C19" s="43">
        <v>313</v>
      </c>
      <c r="D19" s="45"/>
      <c r="E19" s="45">
        <f>2.58*3</f>
        <v>7.74</v>
      </c>
      <c r="F19" s="43"/>
      <c r="G19" s="45"/>
      <c r="H19" s="45">
        <f t="shared" si="1"/>
        <v>0</v>
      </c>
      <c r="I19" s="43"/>
      <c r="J19" s="45"/>
      <c r="K19" s="45"/>
      <c r="L19" s="78"/>
      <c r="M19" s="45"/>
      <c r="N19" s="25"/>
    </row>
    <row r="20" spans="1:14" s="5" customFormat="1" x14ac:dyDescent="0.25">
      <c r="A20" s="101"/>
      <c r="B20" s="44" t="s">
        <v>223</v>
      </c>
      <c r="C20" s="43">
        <v>315</v>
      </c>
      <c r="D20" s="45"/>
      <c r="E20" s="45">
        <f>2.58*2.1</f>
        <v>5.4180000000000001</v>
      </c>
      <c r="F20" s="43">
        <v>2</v>
      </c>
      <c r="G20" s="45">
        <f t="shared" si="0"/>
        <v>1.5761999999999998</v>
      </c>
      <c r="H20" s="45">
        <f t="shared" si="1"/>
        <v>3.1523999999999996</v>
      </c>
      <c r="I20" s="43"/>
      <c r="J20" s="45"/>
      <c r="K20" s="45"/>
      <c r="L20" s="78"/>
      <c r="M20" s="45"/>
      <c r="N20" s="25"/>
    </row>
    <row r="21" spans="1:14" s="5" customFormat="1" x14ac:dyDescent="0.25">
      <c r="A21" s="101"/>
      <c r="B21" s="44" t="s">
        <v>222</v>
      </c>
      <c r="C21" s="43">
        <v>316</v>
      </c>
      <c r="D21" s="45"/>
      <c r="E21" s="45">
        <f>2.58*0.79</f>
        <v>2.0382000000000002</v>
      </c>
      <c r="F21" s="43">
        <v>1</v>
      </c>
      <c r="G21" s="45">
        <f t="shared" si="0"/>
        <v>1.5761999999999998</v>
      </c>
      <c r="H21" s="45">
        <f t="shared" si="1"/>
        <v>1.5761999999999998</v>
      </c>
      <c r="I21" s="43"/>
      <c r="J21" s="45"/>
      <c r="K21" s="45"/>
      <c r="L21" s="78"/>
      <c r="M21" s="45"/>
      <c r="N21" s="25"/>
    </row>
    <row r="22" spans="1:14" s="5" customFormat="1" x14ac:dyDescent="0.25">
      <c r="A22" s="101"/>
      <c r="B22" s="44" t="s">
        <v>222</v>
      </c>
      <c r="C22" s="43">
        <v>317</v>
      </c>
      <c r="D22" s="45"/>
      <c r="E22" s="45">
        <f>2.58*(1.56+1.94)</f>
        <v>9.0300000000000011</v>
      </c>
      <c r="F22" s="43"/>
      <c r="G22" s="45"/>
      <c r="H22" s="45">
        <f t="shared" si="1"/>
        <v>0</v>
      </c>
      <c r="I22" s="43"/>
      <c r="J22" s="45"/>
      <c r="K22" s="45"/>
      <c r="L22" s="78"/>
      <c r="M22" s="45"/>
      <c r="N22" s="25"/>
    </row>
    <row r="23" spans="1:14" s="5" customFormat="1" x14ac:dyDescent="0.25">
      <c r="A23" s="101"/>
      <c r="B23" s="44" t="s">
        <v>221</v>
      </c>
      <c r="C23" s="43">
        <v>318</v>
      </c>
      <c r="D23" s="45"/>
      <c r="E23" s="45">
        <f>2.58*2.65</f>
        <v>6.8369999999999997</v>
      </c>
      <c r="F23" s="43">
        <v>12</v>
      </c>
      <c r="G23" s="45">
        <f t="shared" si="0"/>
        <v>1.5761999999999998</v>
      </c>
      <c r="H23" s="45">
        <f t="shared" si="1"/>
        <v>18.914399999999997</v>
      </c>
      <c r="I23" s="43"/>
      <c r="J23" s="45"/>
      <c r="K23" s="45"/>
      <c r="L23" s="78"/>
      <c r="M23" s="45"/>
      <c r="N23" s="25"/>
    </row>
    <row r="24" spans="1:14" s="5" customFormat="1" x14ac:dyDescent="0.25">
      <c r="A24" s="101"/>
      <c r="B24" s="44" t="s">
        <v>209</v>
      </c>
      <c r="C24" s="43">
        <v>319</v>
      </c>
      <c r="D24" s="45"/>
      <c r="E24" s="45">
        <f>2.58*0.97</f>
        <v>2.5026000000000002</v>
      </c>
      <c r="F24" s="43">
        <v>2</v>
      </c>
      <c r="G24" s="45">
        <f t="shared" si="0"/>
        <v>1.5761999999999998</v>
      </c>
      <c r="H24" s="45">
        <f t="shared" si="1"/>
        <v>3.1523999999999996</v>
      </c>
      <c r="I24" s="43"/>
      <c r="J24" s="45"/>
      <c r="K24" s="45"/>
      <c r="L24" s="78"/>
      <c r="M24" s="45"/>
      <c r="N24" s="25"/>
    </row>
    <row r="25" spans="1:14" s="5" customFormat="1" x14ac:dyDescent="0.25">
      <c r="A25" s="101"/>
      <c r="B25" s="44" t="s">
        <v>226</v>
      </c>
      <c r="C25" s="43">
        <v>320</v>
      </c>
      <c r="D25" s="45"/>
      <c r="E25" s="45">
        <f>2.58*2</f>
        <v>5.16</v>
      </c>
      <c r="F25" s="43">
        <v>6</v>
      </c>
      <c r="G25" s="45">
        <f t="shared" si="0"/>
        <v>1.5761999999999998</v>
      </c>
      <c r="H25" s="45">
        <f t="shared" si="1"/>
        <v>9.4571999999999985</v>
      </c>
      <c r="I25" s="43"/>
      <c r="J25" s="45"/>
      <c r="K25" s="45"/>
      <c r="L25" s="78"/>
      <c r="M25" s="45"/>
      <c r="N25" s="25"/>
    </row>
    <row r="26" spans="1:14" s="5" customFormat="1" x14ac:dyDescent="0.25">
      <c r="A26" s="101"/>
      <c r="B26" s="44" t="s">
        <v>227</v>
      </c>
      <c r="C26" s="43">
        <v>321</v>
      </c>
      <c r="D26" s="45"/>
      <c r="E26" s="45">
        <f>2.58*(1.5+1.93)</f>
        <v>8.8493999999999993</v>
      </c>
      <c r="F26" s="43"/>
      <c r="G26" s="45">
        <f t="shared" si="0"/>
        <v>1.5761999999999998</v>
      </c>
      <c r="H26" s="45">
        <f t="shared" si="1"/>
        <v>0</v>
      </c>
      <c r="I26" s="43"/>
      <c r="J26" s="45"/>
      <c r="K26" s="45"/>
      <c r="L26" s="78"/>
      <c r="M26" s="45"/>
      <c r="N26" s="25"/>
    </row>
    <row r="27" spans="1:14" s="5" customFormat="1" x14ac:dyDescent="0.25">
      <c r="A27" s="101"/>
      <c r="B27" s="44" t="s">
        <v>228</v>
      </c>
      <c r="C27" s="43">
        <v>322</v>
      </c>
      <c r="D27" s="45"/>
      <c r="E27" s="45">
        <f>2.58*3.15</f>
        <v>8.1270000000000007</v>
      </c>
      <c r="F27" s="43">
        <v>2</v>
      </c>
      <c r="G27" s="45">
        <f t="shared" si="0"/>
        <v>1.5761999999999998</v>
      </c>
      <c r="H27" s="45">
        <f t="shared" si="1"/>
        <v>3.1523999999999996</v>
      </c>
      <c r="I27" s="43"/>
      <c r="J27" s="45"/>
      <c r="K27" s="45"/>
      <c r="L27" s="78"/>
      <c r="M27" s="45"/>
      <c r="N27" s="25"/>
    </row>
    <row r="28" spans="1:14" s="5" customFormat="1" x14ac:dyDescent="0.25">
      <c r="A28" s="101"/>
      <c r="B28" s="44" t="s">
        <v>229</v>
      </c>
      <c r="C28" s="43">
        <v>323</v>
      </c>
      <c r="D28" s="45"/>
      <c r="E28" s="45">
        <f>2.58*(1.96+3.62)</f>
        <v>14.3964</v>
      </c>
      <c r="F28" s="43">
        <v>1</v>
      </c>
      <c r="G28" s="45">
        <f t="shared" si="0"/>
        <v>1.5761999999999998</v>
      </c>
      <c r="H28" s="45">
        <f t="shared" si="1"/>
        <v>1.5761999999999998</v>
      </c>
      <c r="I28" s="43"/>
      <c r="J28" s="45"/>
      <c r="K28" s="45"/>
      <c r="L28" s="78"/>
      <c r="M28" s="45"/>
      <c r="N28" s="25"/>
    </row>
    <row r="29" spans="1:14" s="92" customFormat="1" x14ac:dyDescent="0.25">
      <c r="A29" s="101"/>
      <c r="B29" s="44" t="s">
        <v>230</v>
      </c>
      <c r="C29" s="43">
        <v>325</v>
      </c>
      <c r="D29" s="45"/>
      <c r="E29" s="45">
        <f>2.58*5.3</f>
        <v>13.673999999999999</v>
      </c>
      <c r="F29" s="43">
        <v>14</v>
      </c>
      <c r="G29" s="45">
        <f t="shared" si="0"/>
        <v>1.5761999999999998</v>
      </c>
      <c r="H29" s="45">
        <f t="shared" si="1"/>
        <v>22.066799999999997</v>
      </c>
      <c r="I29" s="43"/>
      <c r="J29" s="45"/>
      <c r="K29" s="45"/>
      <c r="L29" s="78"/>
      <c r="M29" s="45"/>
      <c r="N29" s="25"/>
    </row>
    <row r="30" spans="1:14" s="92" customFormat="1" ht="15.75" thickBot="1" x14ac:dyDescent="0.3">
      <c r="A30" s="102"/>
      <c r="B30" s="35" t="s">
        <v>229</v>
      </c>
      <c r="C30" s="36">
        <v>326</v>
      </c>
      <c r="D30" s="37"/>
      <c r="E30" s="37">
        <f>2.58*(1.94+1.57)</f>
        <v>9.0557999999999996</v>
      </c>
      <c r="F30" s="36"/>
      <c r="G30" s="37"/>
      <c r="H30" s="37">
        <f t="shared" si="1"/>
        <v>0</v>
      </c>
      <c r="I30" s="36"/>
      <c r="J30" s="37"/>
      <c r="K30" s="37"/>
      <c r="L30" s="80"/>
      <c r="M30" s="37"/>
      <c r="N30" s="39"/>
    </row>
    <row r="31" spans="1:14" x14ac:dyDescent="0.25">
      <c r="A31" s="103" t="s">
        <v>70</v>
      </c>
      <c r="B31" s="104"/>
      <c r="C31" s="104"/>
      <c r="D31" s="70">
        <f>SUM(D7:D30)</f>
        <v>0</v>
      </c>
      <c r="E31" s="70">
        <f t="shared" ref="E31:N31" si="2">SUM(E7:E30)</f>
        <v>156.10380000000004</v>
      </c>
      <c r="F31" s="75">
        <f t="shared" si="2"/>
        <v>70</v>
      </c>
      <c r="G31" s="70">
        <f t="shared" si="2"/>
        <v>26.795399999999997</v>
      </c>
      <c r="H31" s="70">
        <f t="shared" si="2"/>
        <v>107.18159999999999</v>
      </c>
      <c r="I31" s="75">
        <f t="shared" si="2"/>
        <v>0</v>
      </c>
      <c r="J31" s="70">
        <f t="shared" si="2"/>
        <v>0</v>
      </c>
      <c r="K31" s="70">
        <f t="shared" si="2"/>
        <v>0</v>
      </c>
      <c r="L31" s="75">
        <f t="shared" si="2"/>
        <v>0</v>
      </c>
      <c r="M31" s="70">
        <f t="shared" si="2"/>
        <v>0</v>
      </c>
      <c r="N31" s="71">
        <f t="shared" si="2"/>
        <v>69.912500000000009</v>
      </c>
    </row>
    <row r="32" spans="1:14" ht="15.75" thickBot="1" x14ac:dyDescent="0.3">
      <c r="A32" s="105" t="s">
        <v>195</v>
      </c>
      <c r="B32" s="106"/>
      <c r="C32" s="106"/>
      <c r="D32" s="73">
        <f>D31*2</f>
        <v>0</v>
      </c>
      <c r="E32" s="73">
        <f>E31*2</f>
        <v>312.20760000000007</v>
      </c>
      <c r="F32" s="73"/>
      <c r="G32" s="73">
        <f t="shared" ref="G32:N32" si="3">G31*2</f>
        <v>53.590799999999994</v>
      </c>
      <c r="H32" s="73">
        <f t="shared" si="3"/>
        <v>214.36319999999998</v>
      </c>
      <c r="I32" s="73"/>
      <c r="J32" s="73">
        <f t="shared" si="3"/>
        <v>0</v>
      </c>
      <c r="K32" s="73">
        <f t="shared" si="3"/>
        <v>0</v>
      </c>
      <c r="L32" s="73"/>
      <c r="M32" s="73">
        <f t="shared" si="3"/>
        <v>0</v>
      </c>
      <c r="N32" s="74">
        <f t="shared" si="3"/>
        <v>139.82500000000002</v>
      </c>
    </row>
  </sheetData>
  <mergeCells count="11">
    <mergeCell ref="F5:H5"/>
    <mergeCell ref="I5:K5"/>
    <mergeCell ref="L5:M5"/>
    <mergeCell ref="A1:N1"/>
    <mergeCell ref="A2:N2"/>
    <mergeCell ref="A7:A30"/>
    <mergeCell ref="A31:C31"/>
    <mergeCell ref="A32:C32"/>
    <mergeCell ref="A5:A6"/>
    <mergeCell ref="B5:B6"/>
    <mergeCell ref="C5:C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workbookViewId="0">
      <pane ySplit="4" topLeftCell="A5" activePane="bottomLeft" state="frozen"/>
      <selection pane="bottomLeft" sqref="A1:N2"/>
    </sheetView>
  </sheetViews>
  <sheetFormatPr baseColWidth="10" defaultRowHeight="15" x14ac:dyDescent="0.25"/>
  <cols>
    <col min="1" max="1" width="10.85546875" style="5"/>
    <col min="2" max="2" width="30.140625" style="6" bestFit="1" customWidth="1"/>
    <col min="3" max="3" width="10.85546875" style="5"/>
    <col min="4" max="5" width="13.7109375" style="42" customWidth="1"/>
    <col min="6" max="6" width="5.7109375" style="5" customWidth="1"/>
    <col min="7" max="7" width="5.7109375" style="42" customWidth="1"/>
    <col min="8" max="8" width="7.28515625" style="42" customWidth="1"/>
    <col min="9" max="9" width="7.28515625" style="5" customWidth="1"/>
    <col min="10" max="10" width="7.28515625" style="42" customWidth="1"/>
    <col min="11" max="11" width="6.28515625" style="42" customWidth="1"/>
    <col min="12" max="12" width="6.28515625" style="72" customWidth="1"/>
    <col min="13" max="13" width="9.42578125" style="42" customWidth="1"/>
    <col min="14" max="14" width="13.7109375" style="5" customWidth="1"/>
  </cols>
  <sheetData>
    <row r="1" spans="1:14" ht="28.5" x14ac:dyDescent="0.25">
      <c r="A1" s="138" t="s">
        <v>314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4" ht="18.75" x14ac:dyDescent="0.25">
      <c r="A2" s="145" t="s">
        <v>321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x14ac:dyDescent="0.25">
      <c r="B3" s="9"/>
    </row>
    <row r="4" spans="1:14" s="1" customFormat="1" ht="15.75" thickBot="1" x14ac:dyDescent="0.3">
      <c r="A4" s="5"/>
      <c r="B4" s="6"/>
      <c r="C4" s="5"/>
      <c r="D4" s="42"/>
      <c r="E4" s="42"/>
      <c r="F4" s="5"/>
      <c r="G4" s="42"/>
      <c r="H4" s="42"/>
      <c r="I4" s="5"/>
      <c r="J4" s="42"/>
      <c r="K4" s="42"/>
      <c r="L4" s="72"/>
      <c r="M4" s="42"/>
      <c r="N4" s="5"/>
    </row>
    <row r="5" spans="1:14" ht="30" x14ac:dyDescent="0.25">
      <c r="A5" s="122" t="s">
        <v>0</v>
      </c>
      <c r="B5" s="124" t="s">
        <v>1</v>
      </c>
      <c r="C5" s="124" t="s">
        <v>2</v>
      </c>
      <c r="D5" s="48" t="s">
        <v>15</v>
      </c>
      <c r="E5" s="48" t="s">
        <v>16</v>
      </c>
      <c r="F5" s="124" t="s">
        <v>17</v>
      </c>
      <c r="G5" s="124"/>
      <c r="H5" s="124"/>
      <c r="I5" s="124" t="s">
        <v>18</v>
      </c>
      <c r="J5" s="124"/>
      <c r="K5" s="124"/>
      <c r="L5" s="113" t="s">
        <v>20</v>
      </c>
      <c r="M5" s="113"/>
      <c r="N5" s="23" t="s">
        <v>19</v>
      </c>
    </row>
    <row r="6" spans="1:14" ht="15.75" thickBot="1" x14ac:dyDescent="0.3">
      <c r="A6" s="123"/>
      <c r="B6" s="125"/>
      <c r="C6" s="125"/>
      <c r="D6" s="32" t="s">
        <v>22</v>
      </c>
      <c r="E6" s="32" t="s">
        <v>22</v>
      </c>
      <c r="F6" s="31" t="s">
        <v>21</v>
      </c>
      <c r="G6" s="32" t="s">
        <v>22</v>
      </c>
      <c r="H6" s="32" t="s">
        <v>23</v>
      </c>
      <c r="I6" s="31" t="s">
        <v>21</v>
      </c>
      <c r="J6" s="32" t="s">
        <v>22</v>
      </c>
      <c r="K6" s="32" t="s">
        <v>23</v>
      </c>
      <c r="L6" s="76" t="s">
        <v>21</v>
      </c>
      <c r="M6" s="32" t="s">
        <v>22</v>
      </c>
      <c r="N6" s="33" t="s">
        <v>22</v>
      </c>
    </row>
    <row r="7" spans="1:14" x14ac:dyDescent="0.25">
      <c r="A7" s="100" t="s">
        <v>231</v>
      </c>
      <c r="B7" s="59" t="s">
        <v>232</v>
      </c>
      <c r="C7" s="60">
        <v>401</v>
      </c>
      <c r="D7" s="61">
        <f>1.54*2.7</f>
        <v>4.1580000000000004</v>
      </c>
      <c r="E7" s="61"/>
      <c r="F7" s="60">
        <v>2</v>
      </c>
      <c r="G7" s="61">
        <f>0.74*(1.43+0.5)</f>
        <v>1.4281999999999999</v>
      </c>
      <c r="H7" s="61">
        <f t="shared" ref="H7:H41" si="0">F7*G7</f>
        <v>2.8563999999999998</v>
      </c>
      <c r="I7" s="60"/>
      <c r="J7" s="61"/>
      <c r="K7" s="61"/>
      <c r="L7" s="142"/>
      <c r="M7" s="143"/>
      <c r="N7" s="62"/>
    </row>
    <row r="8" spans="1:14" x14ac:dyDescent="0.25">
      <c r="A8" s="101"/>
      <c r="B8" s="44" t="s">
        <v>232</v>
      </c>
      <c r="C8" s="43">
        <v>402</v>
      </c>
      <c r="D8" s="45"/>
      <c r="E8" s="45">
        <f>2.56*(2+0.91)</f>
        <v>7.4496000000000002</v>
      </c>
      <c r="F8" s="43"/>
      <c r="G8" s="45"/>
      <c r="H8" s="45">
        <f t="shared" si="0"/>
        <v>0</v>
      </c>
      <c r="I8" s="43"/>
      <c r="J8" s="45"/>
      <c r="K8" s="45"/>
      <c r="L8" s="78"/>
      <c r="M8" s="45"/>
      <c r="N8" s="25"/>
    </row>
    <row r="9" spans="1:14" x14ac:dyDescent="0.25">
      <c r="A9" s="101"/>
      <c r="B9" s="99" t="s">
        <v>233</v>
      </c>
      <c r="C9" s="98">
        <v>403</v>
      </c>
      <c r="D9" s="97"/>
      <c r="E9" s="97">
        <f>2.56*4.38</f>
        <v>11.2128</v>
      </c>
      <c r="F9" s="43">
        <v>9</v>
      </c>
      <c r="G9" s="45">
        <f t="shared" ref="G9" si="1">0.74*(1.43+0.5)</f>
        <v>1.4281999999999999</v>
      </c>
      <c r="H9" s="45">
        <f t="shared" si="0"/>
        <v>12.8538</v>
      </c>
      <c r="I9" s="43"/>
      <c r="J9" s="45"/>
      <c r="K9" s="45"/>
      <c r="L9" s="78"/>
      <c r="M9" s="45"/>
      <c r="N9" s="25"/>
    </row>
    <row r="10" spans="1:14" x14ac:dyDescent="0.25">
      <c r="A10" s="101"/>
      <c r="B10" s="99"/>
      <c r="C10" s="98"/>
      <c r="D10" s="97"/>
      <c r="E10" s="97"/>
      <c r="F10" s="43">
        <v>1</v>
      </c>
      <c r="G10" s="45">
        <f>0.78*2.06</f>
        <v>1.6068</v>
      </c>
      <c r="H10" s="45">
        <f t="shared" si="0"/>
        <v>1.6068</v>
      </c>
      <c r="I10" s="43"/>
      <c r="J10" s="45"/>
      <c r="K10" s="45"/>
      <c r="L10" s="78"/>
      <c r="M10" s="45"/>
      <c r="N10" s="25"/>
    </row>
    <row r="11" spans="1:14" x14ac:dyDescent="0.25">
      <c r="A11" s="101"/>
      <c r="B11" s="99"/>
      <c r="C11" s="98"/>
      <c r="D11" s="97"/>
      <c r="E11" s="97"/>
      <c r="F11" s="43">
        <v>1</v>
      </c>
      <c r="G11" s="45">
        <f>0.74*(1.43+0.7)</f>
        <v>1.5761999999999998</v>
      </c>
      <c r="H11" s="45">
        <f t="shared" si="0"/>
        <v>1.5761999999999998</v>
      </c>
      <c r="I11" s="43"/>
      <c r="J11" s="45"/>
      <c r="K11" s="45"/>
      <c r="L11" s="78"/>
      <c r="M11" s="45"/>
      <c r="N11" s="25"/>
    </row>
    <row r="12" spans="1:14" x14ac:dyDescent="0.25">
      <c r="A12" s="101"/>
      <c r="B12" s="44" t="s">
        <v>234</v>
      </c>
      <c r="C12" s="43">
        <v>404</v>
      </c>
      <c r="D12" s="45"/>
      <c r="E12" s="45">
        <f>2.56*0.67</f>
        <v>1.7152000000000001</v>
      </c>
      <c r="F12" s="43">
        <v>2</v>
      </c>
      <c r="G12" s="45">
        <f>0.74*(1.43+0.7)</f>
        <v>1.5761999999999998</v>
      </c>
      <c r="H12" s="45">
        <f t="shared" si="0"/>
        <v>3.1523999999999996</v>
      </c>
      <c r="I12" s="43"/>
      <c r="J12" s="45"/>
      <c r="K12" s="45"/>
      <c r="L12" s="78"/>
      <c r="M12" s="45"/>
      <c r="N12" s="25"/>
    </row>
    <row r="13" spans="1:14" x14ac:dyDescent="0.25">
      <c r="A13" s="101"/>
      <c r="B13" s="44" t="s">
        <v>235</v>
      </c>
      <c r="C13" s="43">
        <v>405</v>
      </c>
      <c r="D13" s="45"/>
      <c r="E13" s="45">
        <f>2.56*0.67</f>
        <v>1.7152000000000001</v>
      </c>
      <c r="F13" s="43">
        <v>2</v>
      </c>
      <c r="G13" s="45">
        <f>0.74*(1.43+0.7)</f>
        <v>1.5761999999999998</v>
      </c>
      <c r="H13" s="45">
        <f t="shared" si="0"/>
        <v>3.1523999999999996</v>
      </c>
      <c r="I13" s="43"/>
      <c r="J13" s="45"/>
      <c r="K13" s="45"/>
      <c r="L13" s="78"/>
      <c r="M13" s="45"/>
      <c r="N13" s="25"/>
    </row>
    <row r="14" spans="1:14" x14ac:dyDescent="0.25">
      <c r="A14" s="101"/>
      <c r="B14" s="99" t="s">
        <v>102</v>
      </c>
      <c r="C14" s="98">
        <v>406</v>
      </c>
      <c r="D14" s="97"/>
      <c r="E14" s="97">
        <f>2.56*2.54</f>
        <v>6.5024000000000006</v>
      </c>
      <c r="F14" s="43">
        <v>2</v>
      </c>
      <c r="G14" s="45">
        <f>0.74*(1.43+0.7)</f>
        <v>1.5761999999999998</v>
      </c>
      <c r="H14" s="45">
        <f t="shared" si="0"/>
        <v>3.1523999999999996</v>
      </c>
      <c r="I14" s="43"/>
      <c r="J14" s="45"/>
      <c r="K14" s="45"/>
      <c r="L14" s="78"/>
      <c r="M14" s="45"/>
      <c r="N14" s="25"/>
    </row>
    <row r="15" spans="1:14" x14ac:dyDescent="0.25">
      <c r="A15" s="101"/>
      <c r="B15" s="99"/>
      <c r="C15" s="98"/>
      <c r="D15" s="97"/>
      <c r="E15" s="97"/>
      <c r="F15" s="43">
        <v>1</v>
      </c>
      <c r="G15" s="45">
        <f>0.78*2.25</f>
        <v>1.7550000000000001</v>
      </c>
      <c r="H15" s="45">
        <f t="shared" si="0"/>
        <v>1.7550000000000001</v>
      </c>
      <c r="I15" s="43"/>
      <c r="J15" s="45"/>
      <c r="K15" s="45"/>
      <c r="L15" s="78"/>
      <c r="M15" s="45"/>
      <c r="N15" s="25"/>
    </row>
    <row r="16" spans="1:14" x14ac:dyDescent="0.25">
      <c r="A16" s="101"/>
      <c r="B16" s="44" t="s">
        <v>236</v>
      </c>
      <c r="C16" s="43">
        <v>407</v>
      </c>
      <c r="D16" s="45"/>
      <c r="E16" s="45">
        <f>2.56*0.97</f>
        <v>2.4832000000000001</v>
      </c>
      <c r="F16" s="43">
        <v>2</v>
      </c>
      <c r="G16" s="45">
        <f>0.74*(1.43+0.7)</f>
        <v>1.5761999999999998</v>
      </c>
      <c r="H16" s="45">
        <f t="shared" si="0"/>
        <v>3.1523999999999996</v>
      </c>
      <c r="I16" s="43"/>
      <c r="J16" s="45"/>
      <c r="K16" s="45"/>
      <c r="L16" s="78"/>
      <c r="M16" s="45"/>
      <c r="N16" s="25"/>
    </row>
    <row r="17" spans="1:14" x14ac:dyDescent="0.25">
      <c r="A17" s="101"/>
      <c r="B17" s="44" t="s">
        <v>200</v>
      </c>
      <c r="C17" s="43">
        <v>408</v>
      </c>
      <c r="D17" s="45"/>
      <c r="E17" s="45">
        <f>2.56*0.5</f>
        <v>1.28</v>
      </c>
      <c r="F17" s="43"/>
      <c r="G17" s="45"/>
      <c r="H17" s="45">
        <f t="shared" si="0"/>
        <v>0</v>
      </c>
      <c r="I17" s="43"/>
      <c r="J17" s="45"/>
      <c r="K17" s="45"/>
      <c r="L17" s="78"/>
      <c r="M17" s="45"/>
      <c r="N17" s="112">
        <f>2.35*(1.28+21+1.28)</f>
        <v>55.366000000000007</v>
      </c>
    </row>
    <row r="18" spans="1:14" x14ac:dyDescent="0.25">
      <c r="A18" s="101"/>
      <c r="B18" s="44" t="s">
        <v>237</v>
      </c>
      <c r="C18" s="43">
        <v>409</v>
      </c>
      <c r="D18" s="45"/>
      <c r="E18" s="45">
        <f>2.56*0.7</f>
        <v>1.7919999999999998</v>
      </c>
      <c r="F18" s="43"/>
      <c r="G18" s="45"/>
      <c r="H18" s="45">
        <f t="shared" si="0"/>
        <v>0</v>
      </c>
      <c r="I18" s="43"/>
      <c r="J18" s="45"/>
      <c r="K18" s="45"/>
      <c r="L18" s="78"/>
      <c r="M18" s="45"/>
      <c r="N18" s="112"/>
    </row>
    <row r="19" spans="1:14" x14ac:dyDescent="0.25">
      <c r="A19" s="101"/>
      <c r="B19" s="44" t="s">
        <v>238</v>
      </c>
      <c r="C19" s="43">
        <v>410</v>
      </c>
      <c r="D19" s="45"/>
      <c r="E19" s="45"/>
      <c r="F19" s="43"/>
      <c r="G19" s="45"/>
      <c r="H19" s="45">
        <f t="shared" si="0"/>
        <v>0</v>
      </c>
      <c r="I19" s="43"/>
      <c r="J19" s="45"/>
      <c r="K19" s="45"/>
      <c r="L19" s="78"/>
      <c r="M19" s="45"/>
      <c r="N19" s="112"/>
    </row>
    <row r="20" spans="1:14" x14ac:dyDescent="0.25">
      <c r="A20" s="101"/>
      <c r="B20" s="44" t="s">
        <v>239</v>
      </c>
      <c r="C20" s="43">
        <v>412</v>
      </c>
      <c r="D20" s="45">
        <f>1.54*5</f>
        <v>7.7</v>
      </c>
      <c r="E20" s="45"/>
      <c r="F20" s="43"/>
      <c r="G20" s="45"/>
      <c r="H20" s="45">
        <f t="shared" si="0"/>
        <v>0</v>
      </c>
      <c r="I20" s="43"/>
      <c r="J20" s="45"/>
      <c r="K20" s="45"/>
      <c r="L20" s="78"/>
      <c r="M20" s="45"/>
      <c r="N20" s="112"/>
    </row>
    <row r="21" spans="1:14" x14ac:dyDescent="0.25">
      <c r="A21" s="101"/>
      <c r="B21" s="44" t="s">
        <v>240</v>
      </c>
      <c r="C21" s="43">
        <v>411</v>
      </c>
      <c r="D21" s="45"/>
      <c r="E21" s="45">
        <f>2.56*(1.4+1.9)</f>
        <v>8.4480000000000004</v>
      </c>
      <c r="F21" s="43"/>
      <c r="G21" s="45"/>
      <c r="H21" s="45">
        <f t="shared" si="0"/>
        <v>0</v>
      </c>
      <c r="I21" s="43"/>
      <c r="J21" s="45"/>
      <c r="K21" s="45"/>
      <c r="L21" s="78"/>
      <c r="M21" s="45"/>
      <c r="N21" s="25"/>
    </row>
    <row r="22" spans="1:14" x14ac:dyDescent="0.25">
      <c r="A22" s="101"/>
      <c r="B22" s="44" t="s">
        <v>241</v>
      </c>
      <c r="C22" s="43">
        <v>413</v>
      </c>
      <c r="D22" s="45"/>
      <c r="E22" s="45">
        <f>2.56*(2*2.96)</f>
        <v>15.155200000000001</v>
      </c>
      <c r="F22" s="43">
        <v>7</v>
      </c>
      <c r="G22" s="45">
        <f>0.73*1.43</f>
        <v>1.0438999999999998</v>
      </c>
      <c r="H22" s="45">
        <f t="shared" si="0"/>
        <v>7.3072999999999988</v>
      </c>
      <c r="I22" s="43"/>
      <c r="J22" s="45"/>
      <c r="K22" s="45"/>
      <c r="L22" s="78"/>
      <c r="M22" s="45"/>
      <c r="N22" s="25"/>
    </row>
    <row r="23" spans="1:14" x14ac:dyDescent="0.25">
      <c r="A23" s="101"/>
      <c r="B23" s="44" t="s">
        <v>242</v>
      </c>
      <c r="C23" s="43">
        <v>415</v>
      </c>
      <c r="D23" s="45"/>
      <c r="E23" s="45"/>
      <c r="F23" s="43">
        <v>2</v>
      </c>
      <c r="G23" s="45">
        <f t="shared" ref="G23:G24" si="2">0.73*1.43</f>
        <v>1.0438999999999998</v>
      </c>
      <c r="H23" s="45">
        <f t="shared" si="0"/>
        <v>2.0877999999999997</v>
      </c>
      <c r="I23" s="43"/>
      <c r="J23" s="45"/>
      <c r="K23" s="45"/>
      <c r="L23" s="78"/>
      <c r="M23" s="45"/>
      <c r="N23" s="25"/>
    </row>
    <row r="24" spans="1:14" x14ac:dyDescent="0.25">
      <c r="A24" s="101"/>
      <c r="B24" s="99" t="s">
        <v>243</v>
      </c>
      <c r="C24" s="98">
        <v>416</v>
      </c>
      <c r="D24" s="97"/>
      <c r="E24" s="97"/>
      <c r="F24" s="43">
        <v>3</v>
      </c>
      <c r="G24" s="45">
        <f t="shared" si="2"/>
        <v>1.0438999999999998</v>
      </c>
      <c r="H24" s="45">
        <f t="shared" si="0"/>
        <v>3.1316999999999995</v>
      </c>
      <c r="I24" s="43"/>
      <c r="J24" s="45"/>
      <c r="K24" s="45"/>
      <c r="L24" s="78"/>
      <c r="M24" s="45"/>
      <c r="N24" s="25"/>
    </row>
    <row r="25" spans="1:14" x14ac:dyDescent="0.25">
      <c r="A25" s="101"/>
      <c r="B25" s="99"/>
      <c r="C25" s="98"/>
      <c r="D25" s="97"/>
      <c r="E25" s="97"/>
      <c r="F25" s="43">
        <v>4</v>
      </c>
      <c r="G25" s="45">
        <f t="shared" ref="G25:G38" si="3">0.74*(1.43+0.7)</f>
        <v>1.5761999999999998</v>
      </c>
      <c r="H25" s="45">
        <f t="shared" si="0"/>
        <v>6.3047999999999993</v>
      </c>
      <c r="I25" s="43"/>
      <c r="J25" s="45"/>
      <c r="K25" s="45"/>
      <c r="L25" s="78"/>
      <c r="M25" s="45"/>
      <c r="N25" s="25"/>
    </row>
    <row r="26" spans="1:14" x14ac:dyDescent="0.25">
      <c r="A26" s="101"/>
      <c r="B26" s="99"/>
      <c r="C26" s="98"/>
      <c r="D26" s="97"/>
      <c r="E26" s="97"/>
      <c r="F26" s="43">
        <v>1</v>
      </c>
      <c r="G26" s="45">
        <f>0.78*2.25</f>
        <v>1.7550000000000001</v>
      </c>
      <c r="H26" s="45">
        <f t="shared" si="0"/>
        <v>1.7550000000000001</v>
      </c>
      <c r="I26" s="43"/>
      <c r="J26" s="45"/>
      <c r="K26" s="45"/>
      <c r="L26" s="78"/>
      <c r="M26" s="45"/>
      <c r="N26" s="25"/>
    </row>
    <row r="27" spans="1:14" x14ac:dyDescent="0.25">
      <c r="A27" s="101"/>
      <c r="B27" s="44" t="s">
        <v>243</v>
      </c>
      <c r="C27" s="43">
        <v>417</v>
      </c>
      <c r="D27" s="45"/>
      <c r="E27" s="45">
        <f>2.56*(0.78+0.97)</f>
        <v>4.4800000000000004</v>
      </c>
      <c r="F27" s="43">
        <v>2</v>
      </c>
      <c r="G27" s="45">
        <f t="shared" si="3"/>
        <v>1.5761999999999998</v>
      </c>
      <c r="H27" s="45">
        <f t="shared" si="0"/>
        <v>3.1523999999999996</v>
      </c>
      <c r="I27" s="43"/>
      <c r="J27" s="45"/>
      <c r="K27" s="45"/>
      <c r="L27" s="78"/>
      <c r="M27" s="45"/>
      <c r="N27" s="25"/>
    </row>
    <row r="28" spans="1:14" x14ac:dyDescent="0.25">
      <c r="A28" s="101"/>
      <c r="B28" s="44" t="s">
        <v>243</v>
      </c>
      <c r="C28" s="43">
        <v>418</v>
      </c>
      <c r="D28" s="45"/>
      <c r="E28" s="45">
        <f t="shared" ref="E28:E29" si="4">2.56*(0.78+0.97)</f>
        <v>4.4800000000000004</v>
      </c>
      <c r="F28" s="43">
        <v>3</v>
      </c>
      <c r="G28" s="45">
        <f t="shared" si="3"/>
        <v>1.5761999999999998</v>
      </c>
      <c r="H28" s="45">
        <f t="shared" si="0"/>
        <v>4.7285999999999992</v>
      </c>
      <c r="I28" s="43"/>
      <c r="J28" s="45"/>
      <c r="K28" s="45"/>
      <c r="L28" s="78"/>
      <c r="M28" s="45"/>
      <c r="N28" s="25"/>
    </row>
    <row r="29" spans="1:14" x14ac:dyDescent="0.25">
      <c r="A29" s="101"/>
      <c r="B29" s="44" t="s">
        <v>243</v>
      </c>
      <c r="C29" s="43">
        <v>419</v>
      </c>
      <c r="D29" s="45"/>
      <c r="E29" s="45">
        <f t="shared" si="4"/>
        <v>4.4800000000000004</v>
      </c>
      <c r="F29" s="43">
        <v>2</v>
      </c>
      <c r="G29" s="45">
        <f t="shared" si="3"/>
        <v>1.5761999999999998</v>
      </c>
      <c r="H29" s="45">
        <f t="shared" si="0"/>
        <v>3.1523999999999996</v>
      </c>
      <c r="I29" s="43"/>
      <c r="J29" s="45"/>
      <c r="K29" s="45"/>
      <c r="L29" s="78"/>
      <c r="M29" s="45"/>
      <c r="N29" s="25"/>
    </row>
    <row r="30" spans="1:14" x14ac:dyDescent="0.25">
      <c r="A30" s="101"/>
      <c r="B30" s="44" t="s">
        <v>244</v>
      </c>
      <c r="C30" s="43">
        <v>420</v>
      </c>
      <c r="D30" s="45"/>
      <c r="E30" s="45">
        <f>2.56*0.77</f>
        <v>1.9712000000000001</v>
      </c>
      <c r="F30" s="43">
        <v>2</v>
      </c>
      <c r="G30" s="45">
        <f t="shared" si="3"/>
        <v>1.5761999999999998</v>
      </c>
      <c r="H30" s="45">
        <f t="shared" si="0"/>
        <v>3.1523999999999996</v>
      </c>
      <c r="I30" s="43"/>
      <c r="J30" s="45"/>
      <c r="K30" s="45"/>
      <c r="L30" s="78"/>
      <c r="M30" s="45"/>
      <c r="N30" s="25"/>
    </row>
    <row r="31" spans="1:14" x14ac:dyDescent="0.25">
      <c r="A31" s="101"/>
      <c r="B31" s="44" t="s">
        <v>245</v>
      </c>
      <c r="C31" s="43">
        <v>421</v>
      </c>
      <c r="D31" s="45"/>
      <c r="E31" s="45">
        <f>2.56*0.77</f>
        <v>1.9712000000000001</v>
      </c>
      <c r="F31" s="43">
        <v>2</v>
      </c>
      <c r="G31" s="45">
        <f t="shared" si="3"/>
        <v>1.5761999999999998</v>
      </c>
      <c r="H31" s="45">
        <f t="shared" si="0"/>
        <v>3.1523999999999996</v>
      </c>
      <c r="I31" s="43"/>
      <c r="J31" s="45"/>
      <c r="K31" s="45"/>
      <c r="L31" s="78"/>
      <c r="M31" s="45"/>
      <c r="N31" s="25"/>
    </row>
    <row r="32" spans="1:14" x14ac:dyDescent="0.25">
      <c r="A32" s="101"/>
      <c r="B32" s="99" t="s">
        <v>209</v>
      </c>
      <c r="C32" s="98">
        <v>422</v>
      </c>
      <c r="D32" s="97"/>
      <c r="E32" s="97">
        <f>2.56*0.86</f>
        <v>2.2016</v>
      </c>
      <c r="F32" s="43">
        <v>2</v>
      </c>
      <c r="G32" s="45">
        <f t="shared" si="3"/>
        <v>1.5761999999999998</v>
      </c>
      <c r="H32" s="45">
        <f t="shared" si="0"/>
        <v>3.1523999999999996</v>
      </c>
      <c r="I32" s="43"/>
      <c r="J32" s="45"/>
      <c r="K32" s="45"/>
      <c r="L32" s="78"/>
      <c r="M32" s="45"/>
      <c r="N32" s="25"/>
    </row>
    <row r="33" spans="1:14" x14ac:dyDescent="0.25">
      <c r="A33" s="101"/>
      <c r="B33" s="99"/>
      <c r="C33" s="98"/>
      <c r="D33" s="97"/>
      <c r="E33" s="97"/>
      <c r="F33" s="43">
        <v>1</v>
      </c>
      <c r="G33" s="45">
        <f>0.78*2.25</f>
        <v>1.7550000000000001</v>
      </c>
      <c r="H33" s="45">
        <f t="shared" si="0"/>
        <v>1.7550000000000001</v>
      </c>
      <c r="I33" s="43"/>
      <c r="J33" s="45"/>
      <c r="K33" s="45"/>
      <c r="L33" s="78"/>
      <c r="M33" s="45"/>
      <c r="N33" s="25"/>
    </row>
    <row r="34" spans="1:14" x14ac:dyDescent="0.25">
      <c r="A34" s="101"/>
      <c r="B34" s="44" t="s">
        <v>246</v>
      </c>
      <c r="C34" s="43">
        <v>423</v>
      </c>
      <c r="D34" s="45">
        <f>1.54*(9.7+7.78)</f>
        <v>26.9192</v>
      </c>
      <c r="E34" s="45"/>
      <c r="F34" s="43">
        <v>9</v>
      </c>
      <c r="G34" s="45">
        <f t="shared" si="3"/>
        <v>1.5761999999999998</v>
      </c>
      <c r="H34" s="45">
        <f t="shared" si="0"/>
        <v>14.185799999999999</v>
      </c>
      <c r="I34" s="43"/>
      <c r="J34" s="45"/>
      <c r="K34" s="45"/>
      <c r="L34" s="78"/>
      <c r="M34" s="45"/>
      <c r="N34" s="25"/>
    </row>
    <row r="35" spans="1:14" x14ac:dyDescent="0.25">
      <c r="A35" s="101"/>
      <c r="B35" s="44" t="s">
        <v>247</v>
      </c>
      <c r="C35" s="43">
        <v>424</v>
      </c>
      <c r="D35" s="45">
        <f>1.54*(0.52+3)</f>
        <v>5.4207999999999998</v>
      </c>
      <c r="E35" s="45"/>
      <c r="F35" s="43"/>
      <c r="G35" s="45"/>
      <c r="H35" s="45">
        <f t="shared" si="0"/>
        <v>0</v>
      </c>
      <c r="I35" s="43"/>
      <c r="J35" s="45"/>
      <c r="K35" s="45"/>
      <c r="L35" s="78"/>
      <c r="M35" s="45"/>
      <c r="N35" s="25"/>
    </row>
    <row r="36" spans="1:14" x14ac:dyDescent="0.25">
      <c r="A36" s="101"/>
      <c r="B36" s="44" t="s">
        <v>250</v>
      </c>
      <c r="C36" s="43">
        <v>425</v>
      </c>
      <c r="D36" s="45"/>
      <c r="E36" s="45">
        <f>2.56*0.97</f>
        <v>2.4832000000000001</v>
      </c>
      <c r="F36" s="43">
        <v>2</v>
      </c>
      <c r="G36" s="45">
        <f t="shared" si="3"/>
        <v>1.5761999999999998</v>
      </c>
      <c r="H36" s="45">
        <f t="shared" si="0"/>
        <v>3.1523999999999996</v>
      </c>
      <c r="I36" s="43"/>
      <c r="J36" s="45"/>
      <c r="K36" s="45"/>
      <c r="L36" s="78"/>
      <c r="M36" s="45"/>
      <c r="N36" s="25"/>
    </row>
    <row r="37" spans="1:14" x14ac:dyDescent="0.25">
      <c r="A37" s="101"/>
      <c r="B37" s="44" t="s">
        <v>249</v>
      </c>
      <c r="C37" s="43">
        <v>426</v>
      </c>
      <c r="D37" s="45"/>
      <c r="E37" s="45">
        <f>2.56*(1.6+2)</f>
        <v>9.2160000000000011</v>
      </c>
      <c r="F37" s="43"/>
      <c r="G37" s="45"/>
      <c r="H37" s="45">
        <f t="shared" si="0"/>
        <v>0</v>
      </c>
      <c r="I37" s="43"/>
      <c r="J37" s="45"/>
      <c r="K37" s="45"/>
      <c r="L37" s="78"/>
      <c r="M37" s="45"/>
      <c r="N37" s="25"/>
    </row>
    <row r="38" spans="1:14" x14ac:dyDescent="0.25">
      <c r="A38" s="101"/>
      <c r="B38" s="99" t="s">
        <v>248</v>
      </c>
      <c r="C38" s="98">
        <v>427</v>
      </c>
      <c r="D38" s="97">
        <f t="shared" ref="D38" si="5">1.54*5.2</f>
        <v>8.0080000000000009</v>
      </c>
      <c r="E38" s="97"/>
      <c r="F38" s="43">
        <v>14</v>
      </c>
      <c r="G38" s="45">
        <f t="shared" si="3"/>
        <v>1.5761999999999998</v>
      </c>
      <c r="H38" s="45">
        <f t="shared" si="0"/>
        <v>22.066799999999997</v>
      </c>
      <c r="I38" s="43"/>
      <c r="J38" s="45"/>
      <c r="K38" s="45"/>
      <c r="L38" s="78"/>
      <c r="M38" s="45"/>
      <c r="N38" s="25"/>
    </row>
    <row r="39" spans="1:14" x14ac:dyDescent="0.25">
      <c r="A39" s="101"/>
      <c r="B39" s="99"/>
      <c r="C39" s="98"/>
      <c r="D39" s="97"/>
      <c r="E39" s="97"/>
      <c r="F39" s="43">
        <v>1</v>
      </c>
      <c r="G39" s="45">
        <f>0.78*2.25</f>
        <v>1.7550000000000001</v>
      </c>
      <c r="H39" s="45">
        <f t="shared" si="0"/>
        <v>1.7550000000000001</v>
      </c>
      <c r="I39" s="43"/>
      <c r="J39" s="45"/>
      <c r="K39" s="45"/>
      <c r="L39" s="78"/>
      <c r="M39" s="45"/>
      <c r="N39" s="25"/>
    </row>
    <row r="40" spans="1:14" s="93" customFormat="1" x14ac:dyDescent="0.25">
      <c r="A40" s="101"/>
      <c r="B40" s="44" t="s">
        <v>251</v>
      </c>
      <c r="C40" s="43">
        <v>428</v>
      </c>
      <c r="D40" s="45"/>
      <c r="E40" s="45">
        <f>2.56*(0.5+0.5+1.88)</f>
        <v>7.3727999999999998</v>
      </c>
      <c r="F40" s="43">
        <v>2</v>
      </c>
      <c r="G40" s="45">
        <f>0.74*(1.43+0.5)</f>
        <v>1.4281999999999999</v>
      </c>
      <c r="H40" s="45">
        <f t="shared" si="0"/>
        <v>2.8563999999999998</v>
      </c>
      <c r="I40" s="43"/>
      <c r="J40" s="45"/>
      <c r="K40" s="45"/>
      <c r="L40" s="78"/>
      <c r="M40" s="45"/>
      <c r="N40" s="25"/>
    </row>
    <row r="41" spans="1:14" s="93" customFormat="1" ht="15.75" thickBot="1" x14ac:dyDescent="0.3">
      <c r="A41" s="102"/>
      <c r="B41" s="35" t="s">
        <v>252</v>
      </c>
      <c r="C41" s="36">
        <v>434</v>
      </c>
      <c r="D41" s="37"/>
      <c r="E41" s="141">
        <f>2.56*2.7</f>
        <v>6.9120000000000008</v>
      </c>
      <c r="F41" s="36"/>
      <c r="G41" s="37"/>
      <c r="H41" s="37">
        <f t="shared" si="0"/>
        <v>0</v>
      </c>
      <c r="I41" s="36"/>
      <c r="J41" s="37"/>
      <c r="K41" s="37"/>
      <c r="L41" s="80"/>
      <c r="M41" s="37"/>
      <c r="N41" s="39"/>
    </row>
    <row r="42" spans="1:14" s="5" customFormat="1" x14ac:dyDescent="0.25">
      <c r="A42" s="103" t="s">
        <v>70</v>
      </c>
      <c r="B42" s="104"/>
      <c r="C42" s="104"/>
      <c r="D42" s="70">
        <f t="shared" ref="D42:E42" si="6">SUM(D7:D41)</f>
        <v>52.206000000000003</v>
      </c>
      <c r="E42" s="70">
        <f t="shared" si="6"/>
        <v>103.3216</v>
      </c>
      <c r="F42" s="94">
        <f>SUM(F7:F41)</f>
        <v>81</v>
      </c>
      <c r="G42" s="70">
        <f t="shared" ref="G42:N42" si="7">SUM(G7:G41)</f>
        <v>39.686099999999996</v>
      </c>
      <c r="H42" s="70">
        <f t="shared" si="7"/>
        <v>120.10639999999998</v>
      </c>
      <c r="I42" s="94">
        <f t="shared" si="7"/>
        <v>0</v>
      </c>
      <c r="J42" s="70">
        <f t="shared" si="7"/>
        <v>0</v>
      </c>
      <c r="K42" s="70">
        <f t="shared" si="7"/>
        <v>0</v>
      </c>
      <c r="L42" s="94">
        <f t="shared" si="7"/>
        <v>0</v>
      </c>
      <c r="M42" s="70">
        <f t="shared" si="7"/>
        <v>0</v>
      </c>
      <c r="N42" s="71">
        <f t="shared" si="7"/>
        <v>55.366000000000007</v>
      </c>
    </row>
    <row r="43" spans="1:14" s="5" customFormat="1" ht="15.75" thickBot="1" x14ac:dyDescent="0.3">
      <c r="A43" s="105" t="s">
        <v>253</v>
      </c>
      <c r="B43" s="106"/>
      <c r="C43" s="106"/>
      <c r="D43" s="73">
        <f>D42*2</f>
        <v>104.41200000000001</v>
      </c>
      <c r="E43" s="73">
        <f t="shared" ref="E43:N43" si="8">E42*2</f>
        <v>206.64320000000001</v>
      </c>
      <c r="F43" s="73"/>
      <c r="G43" s="73">
        <f t="shared" si="8"/>
        <v>79.372199999999992</v>
      </c>
      <c r="H43" s="73">
        <f t="shared" si="8"/>
        <v>240.21279999999996</v>
      </c>
      <c r="I43" s="73"/>
      <c r="J43" s="73">
        <f t="shared" si="8"/>
        <v>0</v>
      </c>
      <c r="K43" s="73">
        <f t="shared" si="8"/>
        <v>0</v>
      </c>
      <c r="L43" s="73"/>
      <c r="M43" s="73">
        <f t="shared" si="8"/>
        <v>0</v>
      </c>
      <c r="N43" s="74">
        <f t="shared" si="8"/>
        <v>110.73200000000001</v>
      </c>
    </row>
    <row r="44" spans="1:14" s="5" customFormat="1" x14ac:dyDescent="0.25">
      <c r="B44" s="6"/>
      <c r="D44" s="42"/>
      <c r="E44" s="42"/>
      <c r="G44" s="42"/>
      <c r="H44" s="42"/>
      <c r="J44" s="42"/>
      <c r="K44" s="42"/>
      <c r="L44" s="72"/>
      <c r="M44" s="42"/>
    </row>
    <row r="45" spans="1:14" s="5" customFormat="1" x14ac:dyDescent="0.25">
      <c r="B45" s="6"/>
      <c r="D45" s="42"/>
      <c r="E45" s="42"/>
      <c r="G45" s="42"/>
      <c r="H45" s="42"/>
      <c r="J45" s="42"/>
      <c r="K45" s="42"/>
      <c r="L45" s="72"/>
      <c r="M45" s="42"/>
    </row>
  </sheetData>
  <mergeCells count="32">
    <mergeCell ref="F5:H5"/>
    <mergeCell ref="I5:K5"/>
    <mergeCell ref="L5:M5"/>
    <mergeCell ref="A1:N1"/>
    <mergeCell ref="A2:N2"/>
    <mergeCell ref="A42:C42"/>
    <mergeCell ref="A43:C43"/>
    <mergeCell ref="A5:A6"/>
    <mergeCell ref="B5:B6"/>
    <mergeCell ref="C5:C6"/>
    <mergeCell ref="A7:A41"/>
    <mergeCell ref="B9:B11"/>
    <mergeCell ref="C9:C11"/>
    <mergeCell ref="D9:D11"/>
    <mergeCell ref="E9:E11"/>
    <mergeCell ref="B14:B15"/>
    <mergeCell ref="C14:C15"/>
    <mergeCell ref="D14:D15"/>
    <mergeCell ref="E14:E15"/>
    <mergeCell ref="N17:N20"/>
    <mergeCell ref="B24:B26"/>
    <mergeCell ref="C24:C26"/>
    <mergeCell ref="D24:D26"/>
    <mergeCell ref="E24:E26"/>
    <mergeCell ref="B32:B33"/>
    <mergeCell ref="C32:C33"/>
    <mergeCell ref="D32:D33"/>
    <mergeCell ref="E32:E33"/>
    <mergeCell ref="B38:B39"/>
    <mergeCell ref="C38:C39"/>
    <mergeCell ref="D38:D39"/>
    <mergeCell ref="E38:E3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workbookViewId="0">
      <pane ySplit="4" topLeftCell="A5" activePane="bottomLeft" state="frozen"/>
      <selection pane="bottomLeft" sqref="A1:N2"/>
    </sheetView>
  </sheetViews>
  <sheetFormatPr baseColWidth="10" defaultRowHeight="15" x14ac:dyDescent="0.25"/>
  <cols>
    <col min="1" max="1" width="10.85546875" style="5"/>
    <col min="2" max="2" width="30.140625" style="6" bestFit="1" customWidth="1"/>
    <col min="3" max="3" width="10.85546875" style="5"/>
    <col min="4" max="5" width="13.7109375" style="42" customWidth="1"/>
    <col min="6" max="6" width="5.7109375" style="5" customWidth="1"/>
    <col min="7" max="8" width="7.28515625" style="42" customWidth="1"/>
    <col min="9" max="9" width="7.28515625" style="5" customWidth="1"/>
    <col min="10" max="10" width="7.28515625" style="42" customWidth="1"/>
    <col min="11" max="11" width="6.28515625" style="42" customWidth="1"/>
    <col min="12" max="12" width="6.28515625" style="72" customWidth="1"/>
    <col min="13" max="13" width="9.42578125" style="42" customWidth="1"/>
    <col min="14" max="14" width="13.7109375" style="5" customWidth="1"/>
  </cols>
  <sheetData>
    <row r="1" spans="1:14" ht="28.5" x14ac:dyDescent="0.25">
      <c r="A1" s="138" t="s">
        <v>314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4" ht="18.75" x14ac:dyDescent="0.25">
      <c r="A2" s="145" t="s">
        <v>322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x14ac:dyDescent="0.25">
      <c r="B3" s="9"/>
    </row>
    <row r="4" spans="1:14" s="1" customFormat="1" ht="15.75" thickBot="1" x14ac:dyDescent="0.3">
      <c r="A4" s="5"/>
      <c r="B4" s="6"/>
      <c r="C4" s="5"/>
      <c r="D4" s="42"/>
      <c r="E4" s="42"/>
      <c r="F4" s="5"/>
      <c r="G4" s="42"/>
      <c r="H4" s="42"/>
      <c r="I4" s="5"/>
      <c r="J4" s="42"/>
      <c r="K4" s="42"/>
      <c r="L4" s="72"/>
      <c r="M4" s="42"/>
      <c r="N4" s="5"/>
    </row>
    <row r="5" spans="1:14" ht="30" x14ac:dyDescent="0.25">
      <c r="A5" s="122" t="s">
        <v>0</v>
      </c>
      <c r="B5" s="124" t="s">
        <v>1</v>
      </c>
      <c r="C5" s="124" t="s">
        <v>2</v>
      </c>
      <c r="D5" s="48" t="s">
        <v>15</v>
      </c>
      <c r="E5" s="48" t="s">
        <v>16</v>
      </c>
      <c r="F5" s="124" t="s">
        <v>17</v>
      </c>
      <c r="G5" s="124"/>
      <c r="H5" s="124"/>
      <c r="I5" s="124" t="s">
        <v>18</v>
      </c>
      <c r="J5" s="124"/>
      <c r="K5" s="124"/>
      <c r="L5" s="113" t="s">
        <v>20</v>
      </c>
      <c r="M5" s="113"/>
      <c r="N5" s="23" t="s">
        <v>19</v>
      </c>
    </row>
    <row r="6" spans="1:14" ht="15.75" thickBot="1" x14ac:dyDescent="0.3">
      <c r="A6" s="123"/>
      <c r="B6" s="125"/>
      <c r="C6" s="125"/>
      <c r="D6" s="32" t="s">
        <v>22</v>
      </c>
      <c r="E6" s="32" t="s">
        <v>22</v>
      </c>
      <c r="F6" s="31" t="s">
        <v>21</v>
      </c>
      <c r="G6" s="32" t="s">
        <v>22</v>
      </c>
      <c r="H6" s="32" t="s">
        <v>23</v>
      </c>
      <c r="I6" s="31" t="s">
        <v>21</v>
      </c>
      <c r="J6" s="32" t="s">
        <v>22</v>
      </c>
      <c r="K6" s="32" t="s">
        <v>23</v>
      </c>
      <c r="L6" s="76" t="s">
        <v>21</v>
      </c>
      <c r="M6" s="32" t="s">
        <v>22</v>
      </c>
      <c r="N6" s="33" t="s">
        <v>22</v>
      </c>
    </row>
    <row r="7" spans="1:14" x14ac:dyDescent="0.25">
      <c r="A7" s="100" t="s">
        <v>254</v>
      </c>
      <c r="B7" s="109" t="s">
        <v>255</v>
      </c>
      <c r="C7" s="110">
        <v>501</v>
      </c>
      <c r="D7" s="111">
        <f>1.54*2.05</f>
        <v>3.1569999999999996</v>
      </c>
      <c r="E7" s="111"/>
      <c r="F7" s="60">
        <v>10</v>
      </c>
      <c r="G7" s="61">
        <f>0.76*(1.44+0.7)</f>
        <v>1.6263999999999998</v>
      </c>
      <c r="H7" s="61">
        <f t="shared" ref="H7:H13" si="0">F7*G7</f>
        <v>16.263999999999999</v>
      </c>
      <c r="I7" s="60"/>
      <c r="J7" s="61"/>
      <c r="K7" s="61"/>
      <c r="L7" s="142"/>
      <c r="M7" s="143"/>
      <c r="N7" s="62"/>
    </row>
    <row r="8" spans="1:14" x14ac:dyDescent="0.25">
      <c r="A8" s="101"/>
      <c r="B8" s="99"/>
      <c r="C8" s="98"/>
      <c r="D8" s="97"/>
      <c r="E8" s="97"/>
      <c r="F8" s="43">
        <v>1</v>
      </c>
      <c r="G8" s="45">
        <f t="shared" ref="G8" si="1">0.78*2.25</f>
        <v>1.7550000000000001</v>
      </c>
      <c r="H8" s="45">
        <f t="shared" si="0"/>
        <v>1.7550000000000001</v>
      </c>
      <c r="I8" s="43"/>
      <c r="J8" s="45"/>
      <c r="K8" s="45"/>
      <c r="L8" s="144"/>
      <c r="M8" s="139"/>
      <c r="N8" s="25"/>
    </row>
    <row r="9" spans="1:14" x14ac:dyDescent="0.25">
      <c r="A9" s="101"/>
      <c r="B9" s="44" t="s">
        <v>256</v>
      </c>
      <c r="C9" s="43">
        <v>502</v>
      </c>
      <c r="D9" s="45">
        <f>1.54*(1.42+2.65)</f>
        <v>6.2678000000000003</v>
      </c>
      <c r="E9" s="45"/>
      <c r="F9" s="43"/>
      <c r="G9" s="45"/>
      <c r="H9" s="45">
        <f t="shared" si="0"/>
        <v>0</v>
      </c>
      <c r="I9" s="43"/>
      <c r="J9" s="45"/>
      <c r="K9" s="45"/>
      <c r="L9" s="78"/>
      <c r="M9" s="45"/>
      <c r="N9" s="25"/>
    </row>
    <row r="10" spans="1:14" x14ac:dyDescent="0.25">
      <c r="A10" s="101"/>
      <c r="B10" s="44" t="s">
        <v>257</v>
      </c>
      <c r="C10" s="43">
        <v>504</v>
      </c>
      <c r="D10" s="45"/>
      <c r="E10" s="45">
        <f>2.56*2</f>
        <v>5.12</v>
      </c>
      <c r="F10" s="43">
        <v>2</v>
      </c>
      <c r="G10" s="45">
        <f>0.76*(1.44+0.7)</f>
        <v>1.6263999999999998</v>
      </c>
      <c r="H10" s="45">
        <f t="shared" si="0"/>
        <v>3.2527999999999997</v>
      </c>
      <c r="I10" s="43"/>
      <c r="J10" s="45"/>
      <c r="K10" s="45"/>
      <c r="L10" s="78"/>
      <c r="M10" s="45"/>
      <c r="N10" s="25"/>
    </row>
    <row r="11" spans="1:14" x14ac:dyDescent="0.25">
      <c r="A11" s="101"/>
      <c r="B11" s="44" t="s">
        <v>258</v>
      </c>
      <c r="C11" s="43">
        <v>505</v>
      </c>
      <c r="D11" s="45"/>
      <c r="E11" s="45">
        <f>2.56*0.98</f>
        <v>2.5087999999999999</v>
      </c>
      <c r="F11" s="43">
        <v>2</v>
      </c>
      <c r="G11" s="45">
        <f t="shared" ref="G11:G14" si="2">0.76*(1.44+0.7)</f>
        <v>1.6263999999999998</v>
      </c>
      <c r="H11" s="45">
        <f t="shared" si="0"/>
        <v>3.2527999999999997</v>
      </c>
      <c r="I11" s="43"/>
      <c r="J11" s="45"/>
      <c r="K11" s="45"/>
      <c r="L11" s="78"/>
      <c r="M11" s="45"/>
      <c r="N11" s="25"/>
    </row>
    <row r="12" spans="1:14" x14ac:dyDescent="0.25">
      <c r="A12" s="101"/>
      <c r="B12" s="44" t="s">
        <v>259</v>
      </c>
      <c r="C12" s="43">
        <v>506</v>
      </c>
      <c r="D12" s="45"/>
      <c r="E12" s="45">
        <f>2.56*0.3</f>
        <v>0.76800000000000002</v>
      </c>
      <c r="F12" s="43">
        <v>2</v>
      </c>
      <c r="G12" s="45">
        <f t="shared" si="2"/>
        <v>1.6263999999999998</v>
      </c>
      <c r="H12" s="45">
        <f t="shared" si="0"/>
        <v>3.2527999999999997</v>
      </c>
      <c r="I12" s="43"/>
      <c r="J12" s="45"/>
      <c r="K12" s="45"/>
      <c r="L12" s="78"/>
      <c r="M12" s="45"/>
      <c r="N12" s="25"/>
    </row>
    <row r="13" spans="1:14" x14ac:dyDescent="0.25">
      <c r="A13" s="101"/>
      <c r="B13" s="44" t="s">
        <v>260</v>
      </c>
      <c r="C13" s="43">
        <v>507</v>
      </c>
      <c r="D13" s="45"/>
      <c r="E13" s="45">
        <f>2.56*0.68</f>
        <v>1.7408000000000001</v>
      </c>
      <c r="F13" s="43">
        <v>2</v>
      </c>
      <c r="G13" s="45">
        <f t="shared" si="2"/>
        <v>1.6263999999999998</v>
      </c>
      <c r="H13" s="45">
        <f t="shared" si="0"/>
        <v>3.2527999999999997</v>
      </c>
      <c r="I13" s="43"/>
      <c r="J13" s="45"/>
      <c r="K13" s="45"/>
      <c r="L13" s="78"/>
      <c r="M13" s="45"/>
      <c r="N13" s="25"/>
    </row>
    <row r="14" spans="1:14" x14ac:dyDescent="0.25">
      <c r="A14" s="101"/>
      <c r="B14" s="107" t="s">
        <v>261</v>
      </c>
      <c r="C14" s="108">
        <v>508</v>
      </c>
      <c r="D14" s="97"/>
      <c r="E14" s="97">
        <f>2.56*0.69</f>
        <v>1.7664</v>
      </c>
      <c r="F14" s="43">
        <v>4</v>
      </c>
      <c r="G14" s="45">
        <f t="shared" si="2"/>
        <v>1.6263999999999998</v>
      </c>
      <c r="H14" s="45">
        <f t="shared" ref="H14:H42" si="3">F14*G14</f>
        <v>6.5055999999999994</v>
      </c>
      <c r="I14" s="43"/>
      <c r="J14" s="45"/>
      <c r="K14" s="45"/>
      <c r="L14" s="78"/>
      <c r="M14" s="45"/>
      <c r="N14" s="25"/>
    </row>
    <row r="15" spans="1:14" x14ac:dyDescent="0.25">
      <c r="A15" s="101"/>
      <c r="B15" s="107"/>
      <c r="C15" s="108"/>
      <c r="D15" s="97"/>
      <c r="E15" s="97"/>
      <c r="F15" s="43">
        <v>1</v>
      </c>
      <c r="G15" s="45">
        <f t="shared" ref="G15" si="4">0.78*2.25</f>
        <v>1.7550000000000001</v>
      </c>
      <c r="H15" s="45">
        <f t="shared" si="3"/>
        <v>1.7550000000000001</v>
      </c>
      <c r="I15" s="43"/>
      <c r="J15" s="45"/>
      <c r="K15" s="45"/>
      <c r="L15" s="78"/>
      <c r="M15" s="45"/>
      <c r="N15" s="25"/>
    </row>
    <row r="16" spans="1:14" x14ac:dyDescent="0.25">
      <c r="A16" s="101"/>
      <c r="B16" s="44" t="s">
        <v>262</v>
      </c>
      <c r="C16" s="43">
        <v>509</v>
      </c>
      <c r="D16" s="45"/>
      <c r="E16" s="45">
        <f>2.56*3.26</f>
        <v>8.3455999999999992</v>
      </c>
      <c r="F16" s="43"/>
      <c r="G16" s="45"/>
      <c r="H16" s="45">
        <f t="shared" si="3"/>
        <v>0</v>
      </c>
      <c r="I16" s="43"/>
      <c r="J16" s="45"/>
      <c r="K16" s="45"/>
      <c r="L16" s="78"/>
      <c r="M16" s="45"/>
      <c r="N16" s="25"/>
    </row>
    <row r="17" spans="1:14" x14ac:dyDescent="0.25">
      <c r="A17" s="101"/>
      <c r="B17" s="44" t="s">
        <v>102</v>
      </c>
      <c r="C17" s="43">
        <v>510</v>
      </c>
      <c r="D17" s="45"/>
      <c r="E17" s="45">
        <f>2.56*3</f>
        <v>7.68</v>
      </c>
      <c r="F17" s="43">
        <v>2</v>
      </c>
      <c r="G17" s="45">
        <f t="shared" ref="G17:G42" si="5">0.76*(1.44+0.7)</f>
        <v>1.6263999999999998</v>
      </c>
      <c r="H17" s="45">
        <f t="shared" si="3"/>
        <v>3.2527999999999997</v>
      </c>
      <c r="I17" s="43"/>
      <c r="J17" s="45"/>
      <c r="K17" s="45"/>
      <c r="L17" s="78"/>
      <c r="M17" s="45"/>
      <c r="N17" s="25"/>
    </row>
    <row r="18" spans="1:14" x14ac:dyDescent="0.25">
      <c r="A18" s="101"/>
      <c r="B18" s="44" t="s">
        <v>200</v>
      </c>
      <c r="C18" s="43">
        <v>511</v>
      </c>
      <c r="D18" s="45"/>
      <c r="E18" s="45">
        <f>2.56*3.14</f>
        <v>8.0384000000000011</v>
      </c>
      <c r="F18" s="43">
        <v>3</v>
      </c>
      <c r="G18" s="45">
        <f t="shared" si="5"/>
        <v>1.6263999999999998</v>
      </c>
      <c r="H18" s="45">
        <f t="shared" si="3"/>
        <v>4.8791999999999991</v>
      </c>
      <c r="I18" s="43"/>
      <c r="J18" s="45"/>
      <c r="K18" s="45"/>
      <c r="L18" s="78"/>
      <c r="M18" s="45"/>
      <c r="N18" s="25"/>
    </row>
    <row r="19" spans="1:14" x14ac:dyDescent="0.25">
      <c r="A19" s="101"/>
      <c r="B19" s="44" t="s">
        <v>200</v>
      </c>
      <c r="C19" s="43">
        <v>512</v>
      </c>
      <c r="D19" s="45"/>
      <c r="E19" s="45">
        <f>2.56*0.33</f>
        <v>0.84480000000000011</v>
      </c>
      <c r="F19" s="43">
        <v>2</v>
      </c>
      <c r="G19" s="45">
        <f t="shared" si="5"/>
        <v>1.6263999999999998</v>
      </c>
      <c r="H19" s="45">
        <f t="shared" si="3"/>
        <v>3.2527999999999997</v>
      </c>
      <c r="I19" s="43"/>
      <c r="J19" s="45"/>
      <c r="K19" s="45"/>
      <c r="L19" s="78"/>
      <c r="M19" s="45"/>
      <c r="N19" s="25"/>
    </row>
    <row r="20" spans="1:14" x14ac:dyDescent="0.25">
      <c r="A20" s="101"/>
      <c r="B20" s="44" t="s">
        <v>263</v>
      </c>
      <c r="C20" s="43">
        <v>513</v>
      </c>
      <c r="D20" s="45"/>
      <c r="E20" s="45">
        <f>2.56*0.37</f>
        <v>0.94720000000000004</v>
      </c>
      <c r="F20" s="43">
        <v>1</v>
      </c>
      <c r="G20" s="45">
        <f t="shared" si="5"/>
        <v>1.6263999999999998</v>
      </c>
      <c r="H20" s="45">
        <f t="shared" si="3"/>
        <v>1.6263999999999998</v>
      </c>
      <c r="I20" s="43"/>
      <c r="J20" s="45"/>
      <c r="K20" s="45"/>
      <c r="L20" s="78"/>
      <c r="M20" s="45"/>
      <c r="N20" s="25"/>
    </row>
    <row r="21" spans="1:14" x14ac:dyDescent="0.25">
      <c r="A21" s="101"/>
      <c r="B21" s="44" t="s">
        <v>264</v>
      </c>
      <c r="C21" s="43">
        <v>514</v>
      </c>
      <c r="D21" s="45">
        <f>1.54*4.78</f>
        <v>7.3612000000000002</v>
      </c>
      <c r="E21" s="45">
        <f>2.56*(2.64+4)</f>
        <v>16.9984</v>
      </c>
      <c r="F21" s="43">
        <v>2</v>
      </c>
      <c r="G21" s="45">
        <f t="shared" si="5"/>
        <v>1.6263999999999998</v>
      </c>
      <c r="H21" s="45">
        <f t="shared" si="3"/>
        <v>3.2527999999999997</v>
      </c>
      <c r="I21" s="43"/>
      <c r="J21" s="45"/>
      <c r="K21" s="45"/>
      <c r="L21" s="78"/>
      <c r="M21" s="45"/>
      <c r="N21" s="25"/>
    </row>
    <row r="22" spans="1:14" x14ac:dyDescent="0.25">
      <c r="A22" s="101"/>
      <c r="B22" s="44" t="s">
        <v>265</v>
      </c>
      <c r="C22" s="43">
        <v>515</v>
      </c>
      <c r="D22" s="45"/>
      <c r="E22" s="45"/>
      <c r="F22" s="43">
        <v>14</v>
      </c>
      <c r="G22" s="45">
        <f t="shared" si="5"/>
        <v>1.6263999999999998</v>
      </c>
      <c r="H22" s="45">
        <f t="shared" si="3"/>
        <v>22.769599999999997</v>
      </c>
      <c r="I22" s="43"/>
      <c r="J22" s="45"/>
      <c r="K22" s="45"/>
      <c r="L22" s="78"/>
      <c r="M22" s="45"/>
      <c r="N22" s="25"/>
    </row>
    <row r="23" spans="1:14" x14ac:dyDescent="0.25">
      <c r="A23" s="101"/>
      <c r="B23" s="44" t="s">
        <v>266</v>
      </c>
      <c r="C23" s="43">
        <v>516</v>
      </c>
      <c r="D23" s="45"/>
      <c r="E23" s="45">
        <f>2.56*2.5</f>
        <v>6.4</v>
      </c>
      <c r="F23" s="43"/>
      <c r="G23" s="45">
        <f t="shared" si="5"/>
        <v>1.6263999999999998</v>
      </c>
      <c r="H23" s="45">
        <f t="shared" si="3"/>
        <v>0</v>
      </c>
      <c r="I23" s="43"/>
      <c r="J23" s="45"/>
      <c r="K23" s="45"/>
      <c r="L23" s="78"/>
      <c r="M23" s="45"/>
      <c r="N23" s="25"/>
    </row>
    <row r="24" spans="1:14" x14ac:dyDescent="0.25">
      <c r="A24" s="101"/>
      <c r="B24" s="44" t="s">
        <v>267</v>
      </c>
      <c r="C24" s="43">
        <v>517</v>
      </c>
      <c r="D24" s="45"/>
      <c r="E24" s="45">
        <f>2.56*1.49</f>
        <v>3.8144</v>
      </c>
      <c r="F24" s="43"/>
      <c r="G24" s="45">
        <f t="shared" si="5"/>
        <v>1.6263999999999998</v>
      </c>
      <c r="H24" s="45">
        <f t="shared" si="3"/>
        <v>0</v>
      </c>
      <c r="I24" s="43"/>
      <c r="J24" s="45"/>
      <c r="K24" s="45"/>
      <c r="L24" s="78"/>
      <c r="M24" s="45"/>
      <c r="N24" s="25"/>
    </row>
    <row r="25" spans="1:14" x14ac:dyDescent="0.25">
      <c r="A25" s="101"/>
      <c r="B25" s="44" t="s">
        <v>268</v>
      </c>
      <c r="C25" s="43">
        <v>518</v>
      </c>
      <c r="D25" s="45"/>
      <c r="E25" s="45">
        <f>2.56*(0.67+3)</f>
        <v>9.3952000000000009</v>
      </c>
      <c r="F25" s="43"/>
      <c r="G25" s="45">
        <f t="shared" si="5"/>
        <v>1.6263999999999998</v>
      </c>
      <c r="H25" s="45">
        <f t="shared" si="3"/>
        <v>0</v>
      </c>
      <c r="I25" s="43"/>
      <c r="J25" s="45"/>
      <c r="K25" s="45"/>
      <c r="L25" s="78"/>
      <c r="M25" s="45"/>
      <c r="N25" s="25"/>
    </row>
    <row r="26" spans="1:14" x14ac:dyDescent="0.25">
      <c r="A26" s="101"/>
      <c r="B26" s="44" t="s">
        <v>268</v>
      </c>
      <c r="C26" s="43">
        <v>519</v>
      </c>
      <c r="D26" s="45"/>
      <c r="E26" s="45">
        <f>2.56*1.7</f>
        <v>4.3520000000000003</v>
      </c>
      <c r="F26" s="43"/>
      <c r="G26" s="45">
        <f t="shared" si="5"/>
        <v>1.6263999999999998</v>
      </c>
      <c r="H26" s="45">
        <f t="shared" si="3"/>
        <v>0</v>
      </c>
      <c r="I26" s="43"/>
      <c r="J26" s="45"/>
      <c r="K26" s="45"/>
      <c r="L26" s="78"/>
      <c r="M26" s="45"/>
      <c r="N26" s="25"/>
    </row>
    <row r="27" spans="1:14" x14ac:dyDescent="0.25">
      <c r="A27" s="101"/>
      <c r="B27" s="99" t="s">
        <v>270</v>
      </c>
      <c r="C27" s="98">
        <v>520</v>
      </c>
      <c r="D27" s="97">
        <f>1.54*3</f>
        <v>4.62</v>
      </c>
      <c r="E27" s="97">
        <f>2.56*2</f>
        <v>5.12</v>
      </c>
      <c r="F27" s="43">
        <v>1</v>
      </c>
      <c r="G27" s="45">
        <f>0.78*2.25</f>
        <v>1.7550000000000001</v>
      </c>
      <c r="H27" s="45"/>
      <c r="I27" s="43"/>
      <c r="J27" s="45"/>
      <c r="K27" s="45"/>
      <c r="L27" s="78"/>
      <c r="M27" s="45"/>
      <c r="N27" s="25"/>
    </row>
    <row r="28" spans="1:14" x14ac:dyDescent="0.25">
      <c r="A28" s="101"/>
      <c r="B28" s="99"/>
      <c r="C28" s="98"/>
      <c r="D28" s="97"/>
      <c r="E28" s="97"/>
      <c r="F28" s="43">
        <v>2</v>
      </c>
      <c r="G28" s="45">
        <f t="shared" si="5"/>
        <v>1.6263999999999998</v>
      </c>
      <c r="H28" s="45">
        <f t="shared" si="3"/>
        <v>3.2527999999999997</v>
      </c>
      <c r="I28" s="43"/>
      <c r="J28" s="45"/>
      <c r="K28" s="45"/>
      <c r="L28" s="78"/>
      <c r="M28" s="45"/>
      <c r="N28" s="25"/>
    </row>
    <row r="29" spans="1:14" x14ac:dyDescent="0.25">
      <c r="A29" s="101"/>
      <c r="B29" s="44" t="s">
        <v>271</v>
      </c>
      <c r="C29" s="43">
        <v>521</v>
      </c>
      <c r="D29" s="45"/>
      <c r="E29" s="45">
        <f>2.56*(2+0.89)</f>
        <v>7.3984000000000005</v>
      </c>
      <c r="F29" s="43">
        <v>3</v>
      </c>
      <c r="G29" s="45">
        <f t="shared" si="5"/>
        <v>1.6263999999999998</v>
      </c>
      <c r="H29" s="45">
        <f t="shared" si="3"/>
        <v>4.8791999999999991</v>
      </c>
      <c r="I29" s="43"/>
      <c r="J29" s="45"/>
      <c r="K29" s="45"/>
      <c r="L29" s="78"/>
      <c r="M29" s="45"/>
      <c r="N29" s="25"/>
    </row>
    <row r="30" spans="1:14" x14ac:dyDescent="0.25">
      <c r="A30" s="101"/>
      <c r="B30" s="44" t="s">
        <v>269</v>
      </c>
      <c r="C30" s="43">
        <v>522</v>
      </c>
      <c r="D30" s="45"/>
      <c r="E30" s="45">
        <f>2.56*2</f>
        <v>5.12</v>
      </c>
      <c r="F30" s="43">
        <v>2</v>
      </c>
      <c r="G30" s="45">
        <f t="shared" si="5"/>
        <v>1.6263999999999998</v>
      </c>
      <c r="H30" s="45">
        <f t="shared" si="3"/>
        <v>3.2527999999999997</v>
      </c>
      <c r="I30" s="43"/>
      <c r="J30" s="45"/>
      <c r="K30" s="45"/>
      <c r="L30" s="78"/>
      <c r="M30" s="45"/>
      <c r="N30" s="25"/>
    </row>
    <row r="31" spans="1:14" x14ac:dyDescent="0.25">
      <c r="A31" s="101"/>
      <c r="B31" s="44" t="s">
        <v>209</v>
      </c>
      <c r="C31" s="43">
        <v>523</v>
      </c>
      <c r="D31" s="45"/>
      <c r="E31" s="45">
        <f>2.56*1.1</f>
        <v>2.8160000000000003</v>
      </c>
      <c r="F31" s="43">
        <v>1</v>
      </c>
      <c r="G31" s="45">
        <f t="shared" si="5"/>
        <v>1.6263999999999998</v>
      </c>
      <c r="H31" s="45">
        <f t="shared" si="3"/>
        <v>1.6263999999999998</v>
      </c>
      <c r="I31" s="43"/>
      <c r="J31" s="45"/>
      <c r="K31" s="45"/>
      <c r="L31" s="78"/>
      <c r="M31" s="45"/>
      <c r="N31" s="25"/>
    </row>
    <row r="32" spans="1:14" x14ac:dyDescent="0.25">
      <c r="A32" s="101"/>
      <c r="B32" s="99" t="s">
        <v>273</v>
      </c>
      <c r="C32" s="98">
        <v>524</v>
      </c>
      <c r="D32" s="97"/>
      <c r="E32" s="97">
        <f>(2.56*2)+(2.09*2.2)</f>
        <v>9.718</v>
      </c>
      <c r="F32" s="43">
        <v>11</v>
      </c>
      <c r="G32" s="45">
        <f t="shared" si="5"/>
        <v>1.6263999999999998</v>
      </c>
      <c r="H32" s="45">
        <f t="shared" si="3"/>
        <v>17.8904</v>
      </c>
      <c r="I32" s="43"/>
      <c r="J32" s="45"/>
      <c r="K32" s="45"/>
      <c r="L32" s="78"/>
      <c r="M32" s="45"/>
      <c r="N32" s="25"/>
    </row>
    <row r="33" spans="1:14" x14ac:dyDescent="0.25">
      <c r="A33" s="101"/>
      <c r="B33" s="99"/>
      <c r="C33" s="98"/>
      <c r="D33" s="97"/>
      <c r="E33" s="97"/>
      <c r="F33" s="43">
        <v>1</v>
      </c>
      <c r="G33" s="45">
        <f>0.78*2.25</f>
        <v>1.7550000000000001</v>
      </c>
      <c r="H33" s="45">
        <f t="shared" si="3"/>
        <v>1.7550000000000001</v>
      </c>
      <c r="I33" s="43"/>
      <c r="J33" s="45"/>
      <c r="K33" s="45"/>
      <c r="L33" s="78"/>
      <c r="M33" s="45"/>
      <c r="N33" s="25"/>
    </row>
    <row r="34" spans="1:14" x14ac:dyDescent="0.25">
      <c r="A34" s="101"/>
      <c r="B34" s="44" t="s">
        <v>272</v>
      </c>
      <c r="C34" s="43">
        <v>525</v>
      </c>
      <c r="D34" s="45"/>
      <c r="E34" s="45">
        <f>2.56*1.87</f>
        <v>4.7872000000000003</v>
      </c>
      <c r="F34" s="43">
        <v>2</v>
      </c>
      <c r="G34" s="45">
        <f t="shared" si="5"/>
        <v>1.6263999999999998</v>
      </c>
      <c r="H34" s="45">
        <f t="shared" si="3"/>
        <v>3.2527999999999997</v>
      </c>
      <c r="I34" s="43"/>
      <c r="J34" s="45"/>
      <c r="K34" s="45"/>
      <c r="L34" s="78"/>
      <c r="M34" s="45"/>
      <c r="N34" s="25"/>
    </row>
    <row r="35" spans="1:14" x14ac:dyDescent="0.25">
      <c r="A35" s="101"/>
      <c r="B35" s="44" t="s">
        <v>272</v>
      </c>
      <c r="C35" s="43">
        <v>526</v>
      </c>
      <c r="D35" s="45"/>
      <c r="E35" s="45">
        <f>2.56*(1.68+1.6)</f>
        <v>8.3968000000000007</v>
      </c>
      <c r="F35" s="43"/>
      <c r="G35" s="45"/>
      <c r="H35" s="45">
        <f t="shared" si="3"/>
        <v>0</v>
      </c>
      <c r="I35" s="43"/>
      <c r="J35" s="45"/>
      <c r="K35" s="45"/>
      <c r="L35" s="78"/>
      <c r="M35" s="45"/>
      <c r="N35" s="25"/>
    </row>
    <row r="36" spans="1:14" x14ac:dyDescent="0.25">
      <c r="A36" s="101"/>
      <c r="B36" s="44" t="s">
        <v>274</v>
      </c>
      <c r="C36" s="43">
        <v>527</v>
      </c>
      <c r="D36" s="45"/>
      <c r="E36" s="45">
        <f>2.56*(3+0.97)</f>
        <v>10.1632</v>
      </c>
      <c r="F36" s="43">
        <v>2</v>
      </c>
      <c r="G36" s="45">
        <f t="shared" si="5"/>
        <v>1.6263999999999998</v>
      </c>
      <c r="H36" s="45">
        <f t="shared" si="3"/>
        <v>3.2527999999999997</v>
      </c>
      <c r="I36" s="43"/>
      <c r="J36" s="45"/>
      <c r="K36" s="45"/>
      <c r="L36" s="78"/>
      <c r="M36" s="45"/>
      <c r="N36" s="25"/>
    </row>
    <row r="37" spans="1:14" x14ac:dyDescent="0.25">
      <c r="A37" s="101"/>
      <c r="B37" s="44" t="s">
        <v>272</v>
      </c>
      <c r="C37" s="43">
        <v>528</v>
      </c>
      <c r="D37" s="45"/>
      <c r="E37" s="45">
        <f>2.56*2</f>
        <v>5.12</v>
      </c>
      <c r="F37" s="43"/>
      <c r="G37" s="45">
        <f t="shared" si="5"/>
        <v>1.6263999999999998</v>
      </c>
      <c r="H37" s="45">
        <f t="shared" si="3"/>
        <v>0</v>
      </c>
      <c r="I37" s="43"/>
      <c r="J37" s="45"/>
      <c r="K37" s="45"/>
      <c r="L37" s="78"/>
      <c r="M37" s="45"/>
      <c r="N37" s="25"/>
    </row>
    <row r="38" spans="1:14" x14ac:dyDescent="0.25">
      <c r="A38" s="101"/>
      <c r="B38" s="44" t="s">
        <v>275</v>
      </c>
      <c r="C38" s="43">
        <v>530</v>
      </c>
      <c r="D38" s="45"/>
      <c r="E38" s="45">
        <f>2.56*2.05</f>
        <v>5.2479999999999993</v>
      </c>
      <c r="F38" s="43"/>
      <c r="G38" s="45"/>
      <c r="H38" s="45">
        <f t="shared" si="3"/>
        <v>0</v>
      </c>
      <c r="I38" s="43"/>
      <c r="J38" s="45"/>
      <c r="K38" s="45"/>
      <c r="L38" s="78"/>
      <c r="M38" s="45"/>
      <c r="N38" s="25"/>
    </row>
    <row r="39" spans="1:14" x14ac:dyDescent="0.25">
      <c r="A39" s="101"/>
      <c r="B39" s="99" t="s">
        <v>276</v>
      </c>
      <c r="C39" s="98">
        <v>531</v>
      </c>
      <c r="D39" s="97"/>
      <c r="E39" s="97"/>
      <c r="F39" s="43">
        <v>16</v>
      </c>
      <c r="G39" s="45">
        <f t="shared" si="5"/>
        <v>1.6263999999999998</v>
      </c>
      <c r="H39" s="45">
        <f t="shared" si="3"/>
        <v>26.022399999999998</v>
      </c>
      <c r="I39" s="43"/>
      <c r="J39" s="45"/>
      <c r="K39" s="45"/>
      <c r="L39" s="78"/>
      <c r="M39" s="45"/>
      <c r="N39" s="25"/>
    </row>
    <row r="40" spans="1:14" x14ac:dyDescent="0.25">
      <c r="A40" s="101"/>
      <c r="B40" s="99"/>
      <c r="C40" s="98"/>
      <c r="D40" s="97"/>
      <c r="E40" s="97"/>
      <c r="F40" s="43">
        <v>1</v>
      </c>
      <c r="G40" s="45">
        <f>0.78*2.25</f>
        <v>1.7550000000000001</v>
      </c>
      <c r="H40" s="45">
        <f t="shared" si="3"/>
        <v>1.7550000000000001</v>
      </c>
      <c r="I40" s="43"/>
      <c r="J40" s="45"/>
      <c r="K40" s="45"/>
      <c r="L40" s="78"/>
      <c r="M40" s="45"/>
      <c r="N40" s="25"/>
    </row>
    <row r="41" spans="1:14" x14ac:dyDescent="0.25">
      <c r="A41" s="101"/>
      <c r="B41" s="44" t="s">
        <v>275</v>
      </c>
      <c r="C41" s="43">
        <v>532</v>
      </c>
      <c r="D41" s="45"/>
      <c r="E41" s="45">
        <f>2.56*2.2</f>
        <v>5.6320000000000006</v>
      </c>
      <c r="F41" s="43">
        <v>2</v>
      </c>
      <c r="G41" s="45">
        <f t="shared" si="5"/>
        <v>1.6263999999999998</v>
      </c>
      <c r="H41" s="45">
        <f t="shared" si="3"/>
        <v>3.2527999999999997</v>
      </c>
      <c r="I41" s="43"/>
      <c r="J41" s="45"/>
      <c r="K41" s="45"/>
      <c r="L41" s="78"/>
      <c r="M41" s="45"/>
      <c r="N41" s="25"/>
    </row>
    <row r="42" spans="1:14" ht="15.75" thickBot="1" x14ac:dyDescent="0.3">
      <c r="A42" s="102"/>
      <c r="B42" s="35" t="s">
        <v>252</v>
      </c>
      <c r="C42" s="36">
        <v>539</v>
      </c>
      <c r="D42" s="37"/>
      <c r="E42" s="37">
        <f>2.56*0.37</f>
        <v>0.94720000000000004</v>
      </c>
      <c r="F42" s="36"/>
      <c r="G42" s="37">
        <f t="shared" si="5"/>
        <v>1.6263999999999998</v>
      </c>
      <c r="H42" s="37">
        <f t="shared" si="3"/>
        <v>0</v>
      </c>
      <c r="I42" s="36"/>
      <c r="J42" s="37"/>
      <c r="K42" s="37"/>
      <c r="L42" s="80"/>
      <c r="M42" s="37"/>
      <c r="N42" s="39"/>
    </row>
    <row r="43" spans="1:14" x14ac:dyDescent="0.25">
      <c r="A43" s="103" t="s">
        <v>70</v>
      </c>
      <c r="B43" s="104"/>
      <c r="C43" s="104"/>
      <c r="D43" s="70">
        <f>SUM(D7:D42)</f>
        <v>21.406000000000002</v>
      </c>
      <c r="E43" s="70">
        <f>SUM(E7:E42)</f>
        <v>149.18680000000003</v>
      </c>
      <c r="F43" s="94">
        <f>SUM(F7:F42)</f>
        <v>92</v>
      </c>
      <c r="G43" s="70">
        <f t="shared" ref="G43:N43" si="6">SUM(G7:G42)</f>
        <v>52.687799999999974</v>
      </c>
      <c r="H43" s="70">
        <f t="shared" si="6"/>
        <v>148.51679999999996</v>
      </c>
      <c r="I43" s="94">
        <f t="shared" si="6"/>
        <v>0</v>
      </c>
      <c r="J43" s="95">
        <f t="shared" si="6"/>
        <v>0</v>
      </c>
      <c r="K43" s="95">
        <f t="shared" si="6"/>
        <v>0</v>
      </c>
      <c r="L43" s="94">
        <f t="shared" si="6"/>
        <v>0</v>
      </c>
      <c r="M43" s="95">
        <f t="shared" si="6"/>
        <v>0</v>
      </c>
      <c r="N43" s="96">
        <f t="shared" si="6"/>
        <v>0</v>
      </c>
    </row>
    <row r="44" spans="1:14" ht="15.75" thickBot="1" x14ac:dyDescent="0.3">
      <c r="A44" s="105" t="s">
        <v>195</v>
      </c>
      <c r="B44" s="106"/>
      <c r="C44" s="106"/>
      <c r="D44" s="73">
        <f>D43*2</f>
        <v>42.812000000000005</v>
      </c>
      <c r="E44" s="73">
        <f t="shared" ref="E44:N44" si="7">E43*2</f>
        <v>298.37360000000007</v>
      </c>
      <c r="F44" s="73"/>
      <c r="G44" s="73">
        <f>G43*2</f>
        <v>105.37559999999995</v>
      </c>
      <c r="H44" s="73">
        <f t="shared" si="7"/>
        <v>297.03359999999992</v>
      </c>
      <c r="I44" s="73"/>
      <c r="J44" s="73">
        <f t="shared" si="7"/>
        <v>0</v>
      </c>
      <c r="K44" s="73">
        <f t="shared" si="7"/>
        <v>0</v>
      </c>
      <c r="L44" s="73"/>
      <c r="M44" s="73">
        <f t="shared" si="7"/>
        <v>0</v>
      </c>
      <c r="N44" s="74">
        <f t="shared" si="7"/>
        <v>0</v>
      </c>
    </row>
    <row r="55" spans="2:13" s="5" customFormat="1" x14ac:dyDescent="0.25">
      <c r="B55" s="6"/>
      <c r="D55" s="42"/>
      <c r="E55" s="42"/>
      <c r="G55" s="42"/>
      <c r="H55" s="42"/>
      <c r="J55" s="42"/>
      <c r="K55" s="42"/>
      <c r="L55" s="72"/>
      <c r="M55" s="42"/>
    </row>
    <row r="56" spans="2:13" s="5" customFormat="1" x14ac:dyDescent="0.25">
      <c r="B56" s="6"/>
      <c r="D56" s="42"/>
      <c r="E56" s="42"/>
      <c r="G56" s="42"/>
      <c r="H56" s="42"/>
      <c r="J56" s="42"/>
      <c r="K56" s="42"/>
      <c r="L56" s="72"/>
      <c r="M56" s="42"/>
    </row>
    <row r="57" spans="2:13" s="5" customFormat="1" x14ac:dyDescent="0.25">
      <c r="B57" s="6"/>
      <c r="D57" s="42"/>
      <c r="E57" s="42"/>
      <c r="G57" s="42"/>
      <c r="H57" s="42"/>
      <c r="J57" s="42"/>
      <c r="K57" s="42"/>
      <c r="L57" s="72"/>
      <c r="M57" s="42"/>
    </row>
    <row r="58" spans="2:13" s="5" customFormat="1" x14ac:dyDescent="0.25">
      <c r="B58" s="6"/>
      <c r="D58" s="42"/>
      <c r="E58" s="42"/>
      <c r="G58" s="42"/>
      <c r="H58" s="42"/>
      <c r="J58" s="42"/>
      <c r="K58" s="42"/>
      <c r="L58" s="72"/>
      <c r="M58" s="42"/>
    </row>
  </sheetData>
  <mergeCells count="31">
    <mergeCell ref="F5:H5"/>
    <mergeCell ref="I5:K5"/>
    <mergeCell ref="L5:M5"/>
    <mergeCell ref="A1:N1"/>
    <mergeCell ref="A2:N2"/>
    <mergeCell ref="E14:E15"/>
    <mergeCell ref="B27:B28"/>
    <mergeCell ref="A5:A6"/>
    <mergeCell ref="B5:B6"/>
    <mergeCell ref="C5:C6"/>
    <mergeCell ref="A44:C44"/>
    <mergeCell ref="C27:C28"/>
    <mergeCell ref="D27:D28"/>
    <mergeCell ref="E27:E28"/>
    <mergeCell ref="B32:B33"/>
    <mergeCell ref="C32:C33"/>
    <mergeCell ref="D32:D33"/>
    <mergeCell ref="E32:E33"/>
    <mergeCell ref="A7:A42"/>
    <mergeCell ref="B7:B8"/>
    <mergeCell ref="C7:C8"/>
    <mergeCell ref="D7:D8"/>
    <mergeCell ref="E7:E8"/>
    <mergeCell ref="B14:B15"/>
    <mergeCell ref="C14:C15"/>
    <mergeCell ref="D14:D15"/>
    <mergeCell ref="B39:B40"/>
    <mergeCell ref="C39:C40"/>
    <mergeCell ref="D39:D40"/>
    <mergeCell ref="E39:E40"/>
    <mergeCell ref="A43:C4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workbookViewId="0">
      <pane ySplit="4" topLeftCell="A5" activePane="bottomLeft" state="frozen"/>
      <selection pane="bottomLeft" sqref="A1:N2"/>
    </sheetView>
  </sheetViews>
  <sheetFormatPr baseColWidth="10" defaultRowHeight="15" x14ac:dyDescent="0.25"/>
  <cols>
    <col min="1" max="1" width="10.85546875" style="5"/>
    <col min="2" max="2" width="30.140625" style="6" bestFit="1" customWidth="1"/>
    <col min="3" max="3" width="10.85546875" style="5"/>
    <col min="4" max="5" width="13.7109375" style="42" customWidth="1"/>
    <col min="6" max="6" width="5.7109375" style="5" customWidth="1"/>
    <col min="7" max="7" width="6.28515625" style="42" bestFit="1" customWidth="1"/>
    <col min="8" max="8" width="7.28515625" style="42" customWidth="1"/>
    <col min="9" max="9" width="7.28515625" style="5" customWidth="1"/>
    <col min="10" max="10" width="7.28515625" style="42" customWidth="1"/>
    <col min="11" max="11" width="6.28515625" style="42" customWidth="1"/>
    <col min="12" max="12" width="6.28515625" style="72" customWidth="1"/>
    <col min="13" max="13" width="9.42578125" style="42" customWidth="1"/>
    <col min="14" max="14" width="13.7109375" style="5" customWidth="1"/>
  </cols>
  <sheetData>
    <row r="1" spans="1:14" ht="28.5" x14ac:dyDescent="0.25">
      <c r="A1" s="138" t="s">
        <v>314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4" ht="18.75" x14ac:dyDescent="0.25">
      <c r="A2" s="145" t="s">
        <v>323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x14ac:dyDescent="0.25">
      <c r="B3" s="9"/>
    </row>
    <row r="4" spans="1:14" s="1" customFormat="1" ht="15.75" thickBot="1" x14ac:dyDescent="0.3">
      <c r="A4" s="5"/>
      <c r="B4" s="6"/>
      <c r="C4" s="5"/>
      <c r="D4" s="42"/>
      <c r="E4" s="42"/>
      <c r="F4" s="5"/>
      <c r="G4" s="42"/>
      <c r="H4" s="42"/>
      <c r="I4" s="5"/>
      <c r="J4" s="42"/>
      <c r="K4" s="42"/>
      <c r="L4" s="72"/>
      <c r="M4" s="42"/>
      <c r="N4" s="5"/>
    </row>
    <row r="5" spans="1:14" ht="30" x14ac:dyDescent="0.25">
      <c r="A5" s="122" t="s">
        <v>0</v>
      </c>
      <c r="B5" s="124" t="s">
        <v>1</v>
      </c>
      <c r="C5" s="124" t="s">
        <v>2</v>
      </c>
      <c r="D5" s="48" t="s">
        <v>15</v>
      </c>
      <c r="E5" s="48" t="s">
        <v>16</v>
      </c>
      <c r="F5" s="124" t="s">
        <v>17</v>
      </c>
      <c r="G5" s="124"/>
      <c r="H5" s="124"/>
      <c r="I5" s="124" t="s">
        <v>18</v>
      </c>
      <c r="J5" s="124"/>
      <c r="K5" s="124"/>
      <c r="L5" s="113" t="s">
        <v>20</v>
      </c>
      <c r="M5" s="113"/>
      <c r="N5" s="23" t="s">
        <v>19</v>
      </c>
    </row>
    <row r="6" spans="1:14" ht="15.75" thickBot="1" x14ac:dyDescent="0.3">
      <c r="A6" s="123"/>
      <c r="B6" s="125"/>
      <c r="C6" s="125"/>
      <c r="D6" s="32" t="s">
        <v>22</v>
      </c>
      <c r="E6" s="32" t="s">
        <v>22</v>
      </c>
      <c r="F6" s="31" t="s">
        <v>21</v>
      </c>
      <c r="G6" s="32" t="s">
        <v>22</v>
      </c>
      <c r="H6" s="32" t="s">
        <v>23</v>
      </c>
      <c r="I6" s="31" t="s">
        <v>21</v>
      </c>
      <c r="J6" s="32" t="s">
        <v>22</v>
      </c>
      <c r="K6" s="32" t="s">
        <v>23</v>
      </c>
      <c r="L6" s="76" t="s">
        <v>21</v>
      </c>
      <c r="M6" s="32" t="s">
        <v>22</v>
      </c>
      <c r="N6" s="33" t="s">
        <v>22</v>
      </c>
    </row>
    <row r="7" spans="1:14" x14ac:dyDescent="0.25">
      <c r="A7" s="100" t="s">
        <v>277</v>
      </c>
      <c r="B7" s="59" t="s">
        <v>278</v>
      </c>
      <c r="C7" s="60">
        <v>601</v>
      </c>
      <c r="D7" s="61"/>
      <c r="E7" s="61">
        <f>2.52*0.97</f>
        <v>2.4443999999999999</v>
      </c>
      <c r="F7" s="60">
        <v>4</v>
      </c>
      <c r="G7" s="61">
        <f>1.08*(0.47+1.42+0.56)</f>
        <v>2.6460000000000004</v>
      </c>
      <c r="H7" s="61">
        <f t="shared" ref="H7:H35" si="0">F7*G7</f>
        <v>10.584000000000001</v>
      </c>
      <c r="I7" s="60"/>
      <c r="J7" s="61"/>
      <c r="K7" s="61"/>
      <c r="L7" s="86"/>
      <c r="M7" s="61"/>
      <c r="N7" s="62">
        <f>2.29*5.64</f>
        <v>12.9156</v>
      </c>
    </row>
    <row r="8" spans="1:14" x14ac:dyDescent="0.25">
      <c r="A8" s="101"/>
      <c r="B8" s="44" t="s">
        <v>282</v>
      </c>
      <c r="C8" s="43">
        <v>602</v>
      </c>
      <c r="D8" s="45"/>
      <c r="E8" s="45">
        <f>2.52*0.97</f>
        <v>2.4443999999999999</v>
      </c>
      <c r="F8" s="43"/>
      <c r="G8" s="45"/>
      <c r="H8" s="45">
        <f t="shared" si="0"/>
        <v>0</v>
      </c>
      <c r="I8" s="43"/>
      <c r="J8" s="45"/>
      <c r="K8" s="45"/>
      <c r="L8" s="78"/>
      <c r="M8" s="45"/>
      <c r="N8" s="25"/>
    </row>
    <row r="9" spans="1:14" x14ac:dyDescent="0.25">
      <c r="A9" s="101"/>
      <c r="B9" s="44" t="s">
        <v>281</v>
      </c>
      <c r="C9" s="43">
        <v>603</v>
      </c>
      <c r="D9" s="45"/>
      <c r="E9" s="45"/>
      <c r="F9" s="43">
        <v>2</v>
      </c>
      <c r="G9" s="45">
        <f t="shared" ref="G9:G17" si="1">1.08*(0.47+1.42+0.56)</f>
        <v>2.6460000000000004</v>
      </c>
      <c r="H9" s="45">
        <f t="shared" si="0"/>
        <v>5.2920000000000007</v>
      </c>
      <c r="I9" s="43"/>
      <c r="J9" s="45"/>
      <c r="K9" s="45"/>
      <c r="L9" s="78"/>
      <c r="M9" s="45"/>
      <c r="N9" s="25"/>
    </row>
    <row r="10" spans="1:14" x14ac:dyDescent="0.25">
      <c r="A10" s="101"/>
      <c r="B10" s="44" t="s">
        <v>280</v>
      </c>
      <c r="C10" s="43">
        <v>605</v>
      </c>
      <c r="D10" s="45"/>
      <c r="E10" s="45">
        <f>2.52*0.2</f>
        <v>0.504</v>
      </c>
      <c r="F10" s="43">
        <v>1</v>
      </c>
      <c r="G10" s="45">
        <f t="shared" si="1"/>
        <v>2.6460000000000004</v>
      </c>
      <c r="H10" s="45">
        <f t="shared" si="0"/>
        <v>2.6460000000000004</v>
      </c>
      <c r="I10" s="43"/>
      <c r="J10" s="45"/>
      <c r="K10" s="45"/>
      <c r="L10" s="78"/>
      <c r="M10" s="45"/>
      <c r="N10" s="25"/>
    </row>
    <row r="11" spans="1:14" x14ac:dyDescent="0.25">
      <c r="A11" s="101"/>
      <c r="B11" s="44" t="s">
        <v>102</v>
      </c>
      <c r="C11" s="43">
        <v>606</v>
      </c>
      <c r="D11" s="45"/>
      <c r="E11" s="45">
        <f>(2.52*3.3)</f>
        <v>8.3159999999999989</v>
      </c>
      <c r="F11" s="43">
        <v>2</v>
      </c>
      <c r="G11" s="45">
        <f t="shared" si="1"/>
        <v>2.6460000000000004</v>
      </c>
      <c r="H11" s="45">
        <f t="shared" si="0"/>
        <v>5.2920000000000007</v>
      </c>
      <c r="I11" s="43"/>
      <c r="J11" s="45"/>
      <c r="K11" s="45"/>
      <c r="L11" s="78"/>
      <c r="M11" s="45"/>
      <c r="N11" s="25"/>
    </row>
    <row r="12" spans="1:14" x14ac:dyDescent="0.25">
      <c r="A12" s="101"/>
      <c r="B12" s="44" t="s">
        <v>283</v>
      </c>
      <c r="C12" s="43"/>
      <c r="D12" s="45"/>
      <c r="E12" s="45">
        <f>2.52*(3.36+1.17+2.65+3.36)+(0.76*2.36)</f>
        <v>28.354399999999998</v>
      </c>
      <c r="F12" s="43"/>
      <c r="G12" s="45">
        <f t="shared" si="1"/>
        <v>2.6460000000000004</v>
      </c>
      <c r="H12" s="45">
        <f t="shared" si="0"/>
        <v>0</v>
      </c>
      <c r="I12" s="43"/>
      <c r="J12" s="45"/>
      <c r="K12" s="45"/>
      <c r="L12" s="78"/>
      <c r="M12" s="45"/>
      <c r="N12" s="25"/>
    </row>
    <row r="13" spans="1:14" x14ac:dyDescent="0.25">
      <c r="A13" s="101"/>
      <c r="B13" s="44" t="s">
        <v>200</v>
      </c>
      <c r="C13" s="43">
        <v>607</v>
      </c>
      <c r="D13" s="45"/>
      <c r="E13" s="45">
        <f>2.52*4.4</f>
        <v>11.088000000000001</v>
      </c>
      <c r="F13" s="43">
        <v>2</v>
      </c>
      <c r="G13" s="45">
        <f t="shared" si="1"/>
        <v>2.6460000000000004</v>
      </c>
      <c r="H13" s="45">
        <f t="shared" si="0"/>
        <v>5.2920000000000007</v>
      </c>
      <c r="I13" s="43"/>
      <c r="J13" s="45"/>
      <c r="K13" s="45"/>
      <c r="L13" s="78"/>
      <c r="M13" s="45"/>
      <c r="N13" s="25"/>
    </row>
    <row r="14" spans="1:14" x14ac:dyDescent="0.25">
      <c r="A14" s="101"/>
      <c r="B14" s="44" t="s">
        <v>284</v>
      </c>
      <c r="C14" s="43">
        <v>608</v>
      </c>
      <c r="D14" s="45"/>
      <c r="E14" s="45">
        <f>(2.52*0.98)+(1.2+1)</f>
        <v>4.6696</v>
      </c>
      <c r="F14" s="43">
        <v>2</v>
      </c>
      <c r="G14" s="45">
        <f t="shared" si="1"/>
        <v>2.6460000000000004</v>
      </c>
      <c r="H14" s="45">
        <f t="shared" si="0"/>
        <v>5.2920000000000007</v>
      </c>
      <c r="I14" s="43"/>
      <c r="J14" s="45"/>
      <c r="K14" s="45"/>
      <c r="L14" s="78"/>
      <c r="M14" s="45"/>
      <c r="N14" s="25"/>
    </row>
    <row r="15" spans="1:14" x14ac:dyDescent="0.25">
      <c r="A15" s="101"/>
      <c r="B15" s="44" t="s">
        <v>284</v>
      </c>
      <c r="C15" s="43">
        <v>609</v>
      </c>
      <c r="D15" s="45"/>
      <c r="E15" s="45">
        <f>2.52*0.69</f>
        <v>1.7387999999999999</v>
      </c>
      <c r="F15" s="43">
        <v>1</v>
      </c>
      <c r="G15" s="45">
        <f t="shared" si="1"/>
        <v>2.6460000000000004</v>
      </c>
      <c r="H15" s="45">
        <f t="shared" si="0"/>
        <v>2.6460000000000004</v>
      </c>
      <c r="I15" s="43"/>
      <c r="J15" s="45"/>
      <c r="K15" s="45"/>
      <c r="L15" s="78"/>
      <c r="M15" s="45"/>
      <c r="N15" s="25"/>
    </row>
    <row r="16" spans="1:14" x14ac:dyDescent="0.25">
      <c r="A16" s="101"/>
      <c r="B16" s="44" t="s">
        <v>190</v>
      </c>
      <c r="C16" s="43">
        <v>610</v>
      </c>
      <c r="D16" s="45"/>
      <c r="E16" s="45">
        <f>2.52*(1.94+1.3+2.94)</f>
        <v>15.573599999999999</v>
      </c>
      <c r="F16" s="43"/>
      <c r="G16" s="45">
        <f t="shared" si="1"/>
        <v>2.6460000000000004</v>
      </c>
      <c r="H16" s="45">
        <f t="shared" si="0"/>
        <v>0</v>
      </c>
      <c r="I16" s="43"/>
      <c r="J16" s="45"/>
      <c r="K16" s="45"/>
      <c r="L16" s="78"/>
      <c r="M16" s="45"/>
      <c r="N16" s="25"/>
    </row>
    <row r="17" spans="1:14" x14ac:dyDescent="0.25">
      <c r="A17" s="101"/>
      <c r="B17" s="99" t="s">
        <v>285</v>
      </c>
      <c r="C17" s="98">
        <v>611</v>
      </c>
      <c r="D17" s="97"/>
      <c r="E17" s="97"/>
      <c r="F17" s="43">
        <v>7</v>
      </c>
      <c r="G17" s="45">
        <f t="shared" si="1"/>
        <v>2.6460000000000004</v>
      </c>
      <c r="H17" s="45">
        <f t="shared" si="0"/>
        <v>18.522000000000002</v>
      </c>
      <c r="I17" s="43"/>
      <c r="J17" s="45"/>
      <c r="K17" s="45"/>
      <c r="L17" s="78"/>
      <c r="M17" s="45"/>
      <c r="N17" s="25"/>
    </row>
    <row r="18" spans="1:14" x14ac:dyDescent="0.25">
      <c r="A18" s="101"/>
      <c r="B18" s="99"/>
      <c r="C18" s="98"/>
      <c r="D18" s="97"/>
      <c r="E18" s="97"/>
      <c r="F18" s="43">
        <v>3</v>
      </c>
      <c r="G18" s="45">
        <f>1.08*(1.48+0.56)</f>
        <v>2.2032000000000003</v>
      </c>
      <c r="H18" s="45">
        <f t="shared" si="0"/>
        <v>6.6096000000000004</v>
      </c>
      <c r="I18" s="43"/>
      <c r="J18" s="45"/>
      <c r="K18" s="45"/>
      <c r="L18" s="78"/>
      <c r="M18" s="45"/>
      <c r="N18" s="25"/>
    </row>
    <row r="19" spans="1:14" x14ac:dyDescent="0.25">
      <c r="A19" s="101"/>
      <c r="B19" s="44" t="s">
        <v>218</v>
      </c>
      <c r="C19" s="43">
        <v>612</v>
      </c>
      <c r="D19" s="45"/>
      <c r="E19" s="45">
        <f>2.52*1.94</f>
        <v>4.8887999999999998</v>
      </c>
      <c r="F19" s="43"/>
      <c r="G19" s="45"/>
      <c r="H19" s="45">
        <f t="shared" si="0"/>
        <v>0</v>
      </c>
      <c r="I19" s="43"/>
      <c r="J19" s="45"/>
      <c r="K19" s="45"/>
      <c r="L19" s="78"/>
      <c r="M19" s="45"/>
      <c r="N19" s="25"/>
    </row>
    <row r="20" spans="1:14" x14ac:dyDescent="0.25">
      <c r="A20" s="101"/>
      <c r="B20" s="44" t="s">
        <v>286</v>
      </c>
      <c r="C20" s="43">
        <v>613</v>
      </c>
      <c r="D20" s="45"/>
      <c r="E20" s="45">
        <f>2.52*0.97</f>
        <v>2.4443999999999999</v>
      </c>
      <c r="F20" s="43"/>
      <c r="G20" s="45"/>
      <c r="H20" s="45">
        <f t="shared" si="0"/>
        <v>0</v>
      </c>
      <c r="I20" s="43"/>
      <c r="J20" s="45"/>
      <c r="K20" s="45"/>
      <c r="L20" s="78"/>
      <c r="M20" s="45"/>
      <c r="N20" s="25"/>
    </row>
    <row r="21" spans="1:14" x14ac:dyDescent="0.25">
      <c r="A21" s="101"/>
      <c r="B21" s="44" t="s">
        <v>286</v>
      </c>
      <c r="C21" s="43">
        <v>614</v>
      </c>
      <c r="D21" s="45"/>
      <c r="E21" s="45">
        <f>2.52*2.25</f>
        <v>5.67</v>
      </c>
      <c r="F21" s="43"/>
      <c r="G21" s="45"/>
      <c r="H21" s="45">
        <f t="shared" si="0"/>
        <v>0</v>
      </c>
      <c r="I21" s="43"/>
      <c r="J21" s="45"/>
      <c r="K21" s="45"/>
      <c r="L21" s="78"/>
      <c r="M21" s="45"/>
      <c r="N21" s="25"/>
    </row>
    <row r="22" spans="1:14" x14ac:dyDescent="0.25">
      <c r="A22" s="101"/>
      <c r="B22" s="44" t="s">
        <v>286</v>
      </c>
      <c r="C22" s="43">
        <v>615</v>
      </c>
      <c r="D22" s="45"/>
      <c r="E22" s="45">
        <f>2.52*(2.25+0.71)</f>
        <v>7.4592000000000001</v>
      </c>
      <c r="F22" s="43"/>
      <c r="G22" s="45"/>
      <c r="H22" s="45">
        <f t="shared" si="0"/>
        <v>0</v>
      </c>
      <c r="I22" s="43"/>
      <c r="J22" s="45"/>
      <c r="K22" s="45"/>
      <c r="L22" s="78"/>
      <c r="M22" s="45"/>
      <c r="N22" s="25"/>
    </row>
    <row r="23" spans="1:14" x14ac:dyDescent="0.25">
      <c r="A23" s="101"/>
      <c r="B23" s="44" t="s">
        <v>287</v>
      </c>
      <c r="C23" s="43">
        <v>617</v>
      </c>
      <c r="D23" s="45">
        <f>1.4*4.53</f>
        <v>6.3419999999999996</v>
      </c>
      <c r="E23" s="45">
        <f>2.52*(1.4+1.79)</f>
        <v>8.0388000000000002</v>
      </c>
      <c r="F23" s="43">
        <v>1</v>
      </c>
      <c r="G23" s="45">
        <f t="shared" ref="G23:G24" si="2">1.08*(1.48+0.56)</f>
        <v>2.2032000000000003</v>
      </c>
      <c r="H23" s="45">
        <f t="shared" si="0"/>
        <v>2.2032000000000003</v>
      </c>
      <c r="I23" s="43"/>
      <c r="J23" s="45"/>
      <c r="K23" s="45"/>
      <c r="L23" s="78"/>
      <c r="M23" s="45"/>
      <c r="N23" s="25"/>
    </row>
    <row r="24" spans="1:14" x14ac:dyDescent="0.25">
      <c r="A24" s="101"/>
      <c r="B24" s="99" t="s">
        <v>288</v>
      </c>
      <c r="C24" s="98">
        <v>618</v>
      </c>
      <c r="D24" s="97"/>
      <c r="E24" s="97"/>
      <c r="F24" s="43">
        <v>3</v>
      </c>
      <c r="G24" s="45">
        <f t="shared" si="2"/>
        <v>2.2032000000000003</v>
      </c>
      <c r="H24" s="45">
        <f t="shared" si="0"/>
        <v>6.6096000000000004</v>
      </c>
      <c r="I24" s="43"/>
      <c r="J24" s="45"/>
      <c r="K24" s="45"/>
      <c r="L24" s="78"/>
      <c r="M24" s="45"/>
      <c r="N24" s="25"/>
    </row>
    <row r="25" spans="1:14" x14ac:dyDescent="0.25">
      <c r="A25" s="101"/>
      <c r="B25" s="99"/>
      <c r="C25" s="98"/>
      <c r="D25" s="97"/>
      <c r="E25" s="97"/>
      <c r="F25" s="43">
        <v>5</v>
      </c>
      <c r="G25" s="45">
        <f t="shared" ref="G25:G35" si="3">1.08*(0.47+1.42+0.56)</f>
        <v>2.6460000000000004</v>
      </c>
      <c r="H25" s="45">
        <f t="shared" si="0"/>
        <v>13.230000000000002</v>
      </c>
      <c r="I25" s="43"/>
      <c r="J25" s="45"/>
      <c r="K25" s="45"/>
      <c r="L25" s="78"/>
      <c r="M25" s="45"/>
      <c r="N25" s="25"/>
    </row>
    <row r="26" spans="1:14" x14ac:dyDescent="0.25">
      <c r="A26" s="101"/>
      <c r="B26" s="44" t="s">
        <v>289</v>
      </c>
      <c r="C26" s="43">
        <v>619</v>
      </c>
      <c r="D26" s="45">
        <f>1.56*2.5</f>
        <v>3.9000000000000004</v>
      </c>
      <c r="E26" s="45">
        <f>2.52*3.8</f>
        <v>9.5759999999999987</v>
      </c>
      <c r="F26" s="43">
        <v>3</v>
      </c>
      <c r="G26" s="45">
        <f t="shared" si="3"/>
        <v>2.6460000000000004</v>
      </c>
      <c r="H26" s="45">
        <f t="shared" si="0"/>
        <v>7.9380000000000006</v>
      </c>
      <c r="I26" s="43"/>
      <c r="J26" s="45"/>
      <c r="K26" s="45"/>
      <c r="L26" s="78"/>
      <c r="M26" s="45"/>
      <c r="N26" s="25"/>
    </row>
    <row r="27" spans="1:14" x14ac:dyDescent="0.25">
      <c r="A27" s="101"/>
      <c r="B27" s="44" t="s">
        <v>190</v>
      </c>
      <c r="C27" s="43">
        <v>620</v>
      </c>
      <c r="D27" s="45"/>
      <c r="E27" s="45">
        <f>2.52*1.52</f>
        <v>3.8304</v>
      </c>
      <c r="F27" s="43">
        <v>1</v>
      </c>
      <c r="G27" s="45">
        <f t="shared" si="3"/>
        <v>2.6460000000000004</v>
      </c>
      <c r="H27" s="45">
        <f t="shared" si="0"/>
        <v>2.6460000000000004</v>
      </c>
      <c r="I27" s="43"/>
      <c r="J27" s="45"/>
      <c r="K27" s="45"/>
      <c r="L27" s="78"/>
      <c r="M27" s="45"/>
      <c r="N27" s="25"/>
    </row>
    <row r="28" spans="1:14" x14ac:dyDescent="0.25">
      <c r="A28" s="101"/>
      <c r="B28" s="44" t="s">
        <v>290</v>
      </c>
      <c r="C28" s="43">
        <v>621</v>
      </c>
      <c r="D28" s="45"/>
      <c r="E28" s="45"/>
      <c r="F28" s="43">
        <v>4</v>
      </c>
      <c r="G28" s="45">
        <f t="shared" si="3"/>
        <v>2.6460000000000004</v>
      </c>
      <c r="H28" s="45">
        <f t="shared" si="0"/>
        <v>10.584000000000001</v>
      </c>
      <c r="I28" s="43"/>
      <c r="J28" s="45"/>
      <c r="K28" s="45"/>
      <c r="L28" s="78"/>
      <c r="M28" s="45"/>
      <c r="N28" s="25"/>
    </row>
    <row r="29" spans="1:14" x14ac:dyDescent="0.25">
      <c r="A29" s="101"/>
      <c r="B29" s="44" t="s">
        <v>291</v>
      </c>
      <c r="C29" s="43">
        <v>622</v>
      </c>
      <c r="D29" s="45">
        <f>1.58*(1.6+2.16)</f>
        <v>5.9408000000000003</v>
      </c>
      <c r="E29" s="45"/>
      <c r="F29" s="43">
        <v>1</v>
      </c>
      <c r="G29" s="45">
        <f t="shared" si="3"/>
        <v>2.6460000000000004</v>
      </c>
      <c r="H29" s="45">
        <f t="shared" si="0"/>
        <v>2.6460000000000004</v>
      </c>
      <c r="I29" s="43"/>
      <c r="J29" s="45"/>
      <c r="K29" s="45"/>
      <c r="L29" s="78"/>
      <c r="M29" s="45"/>
      <c r="N29" s="25"/>
    </row>
    <row r="30" spans="1:14" x14ac:dyDescent="0.25">
      <c r="A30" s="101"/>
      <c r="B30" s="44" t="s">
        <v>200</v>
      </c>
      <c r="C30" s="43">
        <v>623</v>
      </c>
      <c r="D30" s="45"/>
      <c r="E30" s="45"/>
      <c r="F30" s="43">
        <v>2</v>
      </c>
      <c r="G30" s="45">
        <f t="shared" si="3"/>
        <v>2.6460000000000004</v>
      </c>
      <c r="H30" s="45">
        <f t="shared" si="0"/>
        <v>5.2920000000000007</v>
      </c>
      <c r="I30" s="43"/>
      <c r="J30" s="45"/>
      <c r="K30" s="45"/>
      <c r="L30" s="78"/>
      <c r="M30" s="45"/>
      <c r="N30" s="25"/>
    </row>
    <row r="31" spans="1:14" x14ac:dyDescent="0.25">
      <c r="A31" s="101"/>
      <c r="B31" s="44" t="s">
        <v>293</v>
      </c>
      <c r="C31" s="43">
        <v>624</v>
      </c>
      <c r="D31" s="45"/>
      <c r="E31" s="45">
        <f>2.52*0.97</f>
        <v>2.4443999999999999</v>
      </c>
      <c r="F31" s="43"/>
      <c r="G31" s="45"/>
      <c r="H31" s="45">
        <f t="shared" si="0"/>
        <v>0</v>
      </c>
      <c r="I31" s="43"/>
      <c r="J31" s="45"/>
      <c r="K31" s="45"/>
      <c r="L31" s="78"/>
      <c r="M31" s="45"/>
      <c r="N31" s="25"/>
    </row>
    <row r="32" spans="1:14" x14ac:dyDescent="0.25">
      <c r="A32" s="101"/>
      <c r="B32" s="44" t="s">
        <v>292</v>
      </c>
      <c r="C32" s="43">
        <v>625</v>
      </c>
      <c r="D32" s="45"/>
      <c r="E32" s="45">
        <f>2.52*4.7</f>
        <v>11.844000000000001</v>
      </c>
      <c r="F32" s="43">
        <v>5</v>
      </c>
      <c r="G32" s="45">
        <f t="shared" si="3"/>
        <v>2.6460000000000004</v>
      </c>
      <c r="H32" s="45">
        <f t="shared" si="0"/>
        <v>13.230000000000002</v>
      </c>
      <c r="I32" s="43"/>
      <c r="J32" s="45"/>
      <c r="K32" s="45"/>
      <c r="L32" s="78"/>
      <c r="M32" s="45"/>
      <c r="N32" s="25"/>
    </row>
    <row r="33" spans="1:14" x14ac:dyDescent="0.25">
      <c r="A33" s="101"/>
      <c r="B33" s="44" t="s">
        <v>294</v>
      </c>
      <c r="C33" s="43">
        <v>626</v>
      </c>
      <c r="D33" s="45"/>
      <c r="E33" s="45">
        <f>2.52*2.65</f>
        <v>6.6779999999999999</v>
      </c>
      <c r="F33" s="43">
        <v>2</v>
      </c>
      <c r="G33" s="45">
        <f t="shared" si="3"/>
        <v>2.6460000000000004</v>
      </c>
      <c r="H33" s="45">
        <f t="shared" si="0"/>
        <v>5.2920000000000007</v>
      </c>
      <c r="I33" s="43"/>
      <c r="J33" s="45"/>
      <c r="K33" s="45"/>
      <c r="L33" s="78"/>
      <c r="M33" s="45"/>
      <c r="N33" s="25">
        <f>2.29*3.59</f>
        <v>8.2210999999999999</v>
      </c>
    </row>
    <row r="34" spans="1:14" x14ac:dyDescent="0.25">
      <c r="A34" s="101"/>
      <c r="B34" s="44" t="s">
        <v>295</v>
      </c>
      <c r="C34" s="43">
        <v>627</v>
      </c>
      <c r="D34" s="45"/>
      <c r="E34" s="45">
        <f>2.52*2.9</f>
        <v>7.3079999999999998</v>
      </c>
      <c r="F34" s="43"/>
      <c r="G34" s="45">
        <f t="shared" si="3"/>
        <v>2.6460000000000004</v>
      </c>
      <c r="H34" s="45">
        <f t="shared" si="0"/>
        <v>0</v>
      </c>
      <c r="I34" s="43"/>
      <c r="J34" s="45"/>
      <c r="K34" s="45"/>
      <c r="L34" s="78"/>
      <c r="M34" s="45"/>
      <c r="N34" s="25">
        <f>2.29*3.9</f>
        <v>8.9309999999999992</v>
      </c>
    </row>
    <row r="35" spans="1:14" s="5" customFormat="1" ht="15.75" thickBot="1" x14ac:dyDescent="0.3">
      <c r="A35" s="102"/>
      <c r="B35" s="35" t="s">
        <v>296</v>
      </c>
      <c r="C35" s="36">
        <v>628</v>
      </c>
      <c r="D35" s="37"/>
      <c r="E35" s="37">
        <f>2.52*(1.03+3+0.37)</f>
        <v>11.088000000000001</v>
      </c>
      <c r="F35" s="36"/>
      <c r="G35" s="37">
        <f t="shared" si="3"/>
        <v>2.6460000000000004</v>
      </c>
      <c r="H35" s="37">
        <f t="shared" si="0"/>
        <v>0</v>
      </c>
      <c r="I35" s="36"/>
      <c r="J35" s="37"/>
      <c r="K35" s="37"/>
      <c r="L35" s="80"/>
      <c r="M35" s="37"/>
      <c r="N35" s="39">
        <f>2.29*1.92</f>
        <v>4.3967999999999998</v>
      </c>
    </row>
    <row r="36" spans="1:14" x14ac:dyDescent="0.25">
      <c r="A36" s="103" t="s">
        <v>70</v>
      </c>
      <c r="B36" s="104"/>
      <c r="C36" s="104"/>
      <c r="D36" s="70">
        <f>SUM(D7:D35)</f>
        <v>16.1828</v>
      </c>
      <c r="E36" s="70">
        <f t="shared" ref="E36:N36" si="4">SUM(E7:E35)</f>
        <v>156.40319999999997</v>
      </c>
      <c r="F36" s="75">
        <f t="shared" si="4"/>
        <v>51</v>
      </c>
      <c r="G36" s="70">
        <f t="shared" si="4"/>
        <v>59.529600000000009</v>
      </c>
      <c r="H36" s="70">
        <f t="shared" si="4"/>
        <v>131.84640000000002</v>
      </c>
      <c r="I36" s="75">
        <f t="shared" si="4"/>
        <v>0</v>
      </c>
      <c r="J36" s="70">
        <f t="shared" si="4"/>
        <v>0</v>
      </c>
      <c r="K36" s="70">
        <f t="shared" si="4"/>
        <v>0</v>
      </c>
      <c r="L36" s="75">
        <f t="shared" si="4"/>
        <v>0</v>
      </c>
      <c r="M36" s="70">
        <f t="shared" si="4"/>
        <v>0</v>
      </c>
      <c r="N36" s="71">
        <f t="shared" si="4"/>
        <v>34.464499999999994</v>
      </c>
    </row>
    <row r="37" spans="1:14" ht="15.75" thickBot="1" x14ac:dyDescent="0.3">
      <c r="A37" s="105" t="s">
        <v>195</v>
      </c>
      <c r="B37" s="106"/>
      <c r="C37" s="106"/>
      <c r="D37" s="73">
        <f>D36*2</f>
        <v>32.365600000000001</v>
      </c>
      <c r="E37" s="73">
        <f t="shared" ref="E37:N37" si="5">E36*2</f>
        <v>312.80639999999994</v>
      </c>
      <c r="F37" s="73"/>
      <c r="G37" s="73">
        <f t="shared" si="5"/>
        <v>119.05920000000002</v>
      </c>
      <c r="H37" s="73">
        <f t="shared" si="5"/>
        <v>263.69280000000003</v>
      </c>
      <c r="I37" s="73"/>
      <c r="J37" s="73">
        <f t="shared" si="5"/>
        <v>0</v>
      </c>
      <c r="K37" s="73">
        <f t="shared" si="5"/>
        <v>0</v>
      </c>
      <c r="L37" s="73"/>
      <c r="M37" s="73">
        <f t="shared" si="5"/>
        <v>0</v>
      </c>
      <c r="N37" s="74">
        <f t="shared" si="5"/>
        <v>68.928999999999988</v>
      </c>
    </row>
  </sheetData>
  <mergeCells count="19">
    <mergeCell ref="L5:M5"/>
    <mergeCell ref="A1:N1"/>
    <mergeCell ref="A2:N2"/>
    <mergeCell ref="A5:A6"/>
    <mergeCell ref="B5:B6"/>
    <mergeCell ref="C5:C6"/>
    <mergeCell ref="F5:H5"/>
    <mergeCell ref="I5:K5"/>
    <mergeCell ref="C24:C25"/>
    <mergeCell ref="D24:D25"/>
    <mergeCell ref="E24:E25"/>
    <mergeCell ref="A36:C36"/>
    <mergeCell ref="A37:C37"/>
    <mergeCell ref="A7:A35"/>
    <mergeCell ref="B17:B18"/>
    <mergeCell ref="C17:C18"/>
    <mergeCell ref="D17:D18"/>
    <mergeCell ref="E17:E18"/>
    <mergeCell ref="B24:B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TG</vt:lpstr>
      <vt:lpstr>RDJ</vt:lpstr>
      <vt:lpstr>RDC</vt:lpstr>
      <vt:lpstr>R+1</vt:lpstr>
      <vt:lpstr>R+2</vt:lpstr>
      <vt:lpstr>R+3</vt:lpstr>
      <vt:lpstr>R+4</vt:lpstr>
      <vt:lpstr>R+5</vt:lpstr>
      <vt:lpstr>R+6</vt:lpstr>
      <vt:lpstr>R+7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LHERMENIER CHRYSTEL (CPAM VAR)</dc:creator>
  <cp:lastModifiedBy>BOURGOGNE MORGAN (CPAM VAR)</cp:lastModifiedBy>
  <dcterms:created xsi:type="dcterms:W3CDTF">2025-01-16T06:59:35Z</dcterms:created>
  <dcterms:modified xsi:type="dcterms:W3CDTF">2025-03-21T09:54:07Z</dcterms:modified>
</cp:coreProperties>
</file>